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4635" yWindow="105" windowWidth="13830" windowHeight="11325" tabRatio="972" firstSheet="2" activeTab="3"/>
  </bookViews>
  <sheets>
    <sheet name="1개요(건축)" sheetId="18" state="hidden" r:id="rId1"/>
    <sheet name="2산출서(건축)" sheetId="19" state="hidden" r:id="rId2"/>
    <sheet name="총사업비 산출총괄표" sheetId="12" r:id="rId3"/>
    <sheet name="공종별 구성현황표" sheetId="11" r:id="rId4"/>
    <sheet name="6정보통신" sheetId="20" state="hidden" r:id="rId5"/>
    <sheet name=" 7소방" sheetId="22" state="hidden" r:id="rId6"/>
    <sheet name="1개요(전기)" sheetId="25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1행열변환_1_.행열변환_1">[1]!'[행열변환_1].행열변환_1'</definedName>
    <definedName name="_2행열변환_2_.행열변환_2">[1]!'[행열변환_2].행열변환_2'</definedName>
    <definedName name="_3행열변환_3_.행열변환_3">[1]!'[행열변환_3].행열변환_3'</definedName>
    <definedName name="_4행열변환_4_.행열변환_4">[1]!'[행열변환_4].행열변환_4'</definedName>
    <definedName name="\a">#N/A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CODESUM3">[2]!CODESUM3</definedName>
    <definedName name="_xlnm.Database">#REF!</definedName>
    <definedName name="Macro1">[3]!Macro1</definedName>
    <definedName name="MACRO3">[4]!MACRO3</definedName>
    <definedName name="_xlnm.Print_Area" localSheetId="5">' 7소방'!$A$1:$L$27</definedName>
    <definedName name="_xlnm.Print_Area" localSheetId="6">'1개요(전기)'!$A$1:$D$32</definedName>
    <definedName name="_xlnm.Print_Area" localSheetId="1">'2산출서(건축)'!$A$1:$H$39</definedName>
    <definedName name="_xlnm.Print_Area" localSheetId="4">'6정보통신'!$A$2:$AD$34</definedName>
    <definedName name="_xlnm.Print_Area" localSheetId="3">'공종별 구성현황표'!$A$1:$G$67</definedName>
    <definedName name="_xlnm.Print_Area" localSheetId="2">'총사업비 산출총괄표'!$A$1:$H$35</definedName>
    <definedName name="_xlnm.Print_Area">[5]Sheet2!#REF!</definedName>
    <definedName name="PRINT_AREA_MI">[5]Sheet2!#REF!</definedName>
    <definedName name="_xlnm.Print_Titles" localSheetId="3">'공종별 구성현황표'!$3:$4</definedName>
    <definedName name="SUM_A">[2]!SUM_A</definedName>
    <definedName name="wrn.부산주경기장.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개발비">[6]사업성분석!#REF!</definedName>
    <definedName name="건축비용">[7]!건축비용</definedName>
    <definedName name="견적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수나눈값" localSheetId="5">[8]계수!$E$1</definedName>
    <definedName name="계수나눈값" localSheetId="6">[9]계수!$E$1</definedName>
    <definedName name="계수나눈값" localSheetId="4">[10]계수!$E$1</definedName>
    <definedName name="계수나눈값">[11]계수!$E$1</definedName>
    <definedName name="계수영역" localSheetId="5">[8]계수!$A$2:$C$13</definedName>
    <definedName name="계수영역" localSheetId="6">[9]계수!$A$2:$C$13</definedName>
    <definedName name="계수영역" localSheetId="4">[10]계수!$A$2:$C$13</definedName>
    <definedName name="계수영역">[11]계수!$A$2:$C$13</definedName>
    <definedName name="계약금">'[12]1-최종안'!$G$13</definedName>
    <definedName name="공영정산">[6]사업성분석!#REF!</definedName>
    <definedName name="교굑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융2">#REF!</definedName>
    <definedName name="기타자료">[7]!기타자료</definedName>
    <definedName name="노원문화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당사광고">[13]사업수지!$H$77</definedName>
    <definedName name="당사모델운영">[13]사업수지!$H$78</definedName>
    <definedName name="당사사업추진">[13]사업수지!$H$79</definedName>
    <definedName name="대여이자">[6]사업성분석!#REF!</definedName>
    <definedName name="도급계">[6]사업성분석!$H$45</definedName>
    <definedName name="도로부담금">[14]당사!#REF!</definedName>
    <definedName name="ㄹㄹ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면적총괄">[7]!면적총괄</definedName>
    <definedName name="무이주비">[6]사업성분석!#REF!</definedName>
    <definedName name="보증">[15]수지!#REF!</definedName>
    <definedName name="분양금액">'[12]사업분석-분양가결정'!$H$17</definedName>
    <definedName name="분양예측">[7]!분양예측</definedName>
    <definedName name="사업성분석">[16]사업분석!$I$22</definedName>
    <definedName name="산출내역서0" localSheetId="6">[17]계수!$G$1</definedName>
    <definedName name="산출내역서0">[18]계수!$G$1</definedName>
    <definedName name="설계보상">[6]사업성분석!#REF!</definedName>
    <definedName name="속초조양부대입찰요청서">[19]확약서!#REF!</definedName>
    <definedName name="속초조양원하도급예정금액대비">[19]확약서!#REF!</definedName>
    <definedName name="속초조양지급자재">[19]확약서!#REF!</definedName>
    <definedName name="속초조양하도급사항">[19]확약서!#REF!</definedName>
    <definedName name="손익분기">[7]!손익분기</definedName>
    <definedName name="수입">[7]!수입</definedName>
    <definedName name="승수" localSheetId="5">[8]계수!$F$1</definedName>
    <definedName name="승수" localSheetId="6">[9]계수!$F$1</definedName>
    <definedName name="승수" localSheetId="4">[10]계수!$F$1</definedName>
    <definedName name="승수">[11]계수!$F$1</definedName>
    <definedName name="승수비율" localSheetId="5">[8]계수!$G$1</definedName>
    <definedName name="승수비율" localSheetId="6">[9]계수!$G$1</definedName>
    <definedName name="승수비율" localSheetId="4">[10]계수!$G$1</definedName>
    <definedName name="승수비율">[11]계수!$G$1</definedName>
    <definedName name="ㅇㅇ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예정공정표">[13]사업수지!$H$77</definedName>
    <definedName name="용역">[6]사업성분석!#REF!</definedName>
    <definedName name="원위치">[19]!원위치</definedName>
    <definedName name="유이주비">[6]사업성분석!#REF!</definedName>
    <definedName name="유토지">[6]사업성분석!#REF!</definedName>
    <definedName name="이주비이자">[6]사업성분석!#REF!</definedName>
    <definedName name="인허가">[6]사업성분석!#REF!</definedName>
    <definedName name="잔여유토지">[6]사업성분석!#REF!</definedName>
    <definedName name="정산설계">[6]사업성분석!#REF!</definedName>
    <definedName name="정산시공보증">[6]사업성분석!#REF!</definedName>
    <definedName name="정산용역">[6]사업성분석!#REF!</definedName>
    <definedName name="정산이자">[6]사업성분석!#REF!</definedName>
    <definedName name="정산조합개소비">[6]사업성분석!#REF!</definedName>
    <definedName name="정산조합운영">[6]사업성분석!#REF!</definedName>
    <definedName name="정산토지">[6]사업성분석!#REF!</definedName>
    <definedName name="제어판">[7]!제어판</definedName>
    <definedName name="제출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지출계획">[7]!지출계획</definedName>
    <definedName name="차트">[7]!차트</definedName>
    <definedName name="측량">[6]사업성분석!#REF!</definedName>
    <definedName name="측량지질">[6]사업성분석!#REF!</definedName>
    <definedName name="표지">#REF!</definedName>
    <definedName name="하도사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보수">[15]수지!#REF!</definedName>
    <definedName name="행열변환_1.행열변환_1">[4]!행열변환_1.행열변환_1</definedName>
    <definedName name="행열변환_2.행열변환_2">[4]!행열변환_2.행열변환_2</definedName>
    <definedName name="행열변환_3.행열변환_3">[20]!행열변환_3.행열변환_3</definedName>
    <definedName name="행열변환_4.행열변환_4">[21]!행열변환_4.행열변환_4</definedName>
    <definedName name="ㅐㅐㅐ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localSheetId="6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4519"/>
</workbook>
</file>

<file path=xl/calcChain.xml><?xml version="1.0" encoding="utf-8"?>
<calcChain xmlns="http://schemas.openxmlformats.org/spreadsheetml/2006/main">
  <c r="G66" i="11"/>
  <c r="E60"/>
  <c r="D60"/>
  <c r="E48"/>
  <c r="D48"/>
  <c r="E19"/>
  <c r="D19"/>
  <c r="H21" i="12"/>
  <c r="G21"/>
  <c r="D21"/>
  <c r="H11"/>
  <c r="H14" s="1"/>
  <c r="H24" s="1"/>
  <c r="G11"/>
  <c r="G14" s="1"/>
  <c r="F11"/>
  <c r="D11"/>
  <c r="G24" l="1"/>
  <c r="F14"/>
  <c r="F24" s="1"/>
  <c r="D14"/>
  <c r="E66" i="11"/>
  <c r="D66"/>
  <c r="D24" i="12" l="1"/>
  <c r="I13" i="22" l="1"/>
  <c r="A35" i="18"/>
  <c r="A36"/>
  <c r="A34"/>
  <c r="B30"/>
  <c r="B31" i="25" s="1"/>
  <c r="A23" i="18"/>
  <c r="A24" i="25" s="1"/>
  <c r="A24" i="18"/>
  <c r="A25" i="25" s="1"/>
  <c r="F6" i="22"/>
  <c r="C3"/>
  <c r="K13"/>
  <c r="K12"/>
  <c r="C20" s="1"/>
  <c r="K20" s="1"/>
  <c r="K18" s="1"/>
  <c r="C22"/>
  <c r="K22" s="1"/>
  <c r="B29" i="18"/>
  <c r="C29" s="1"/>
  <c r="C30" i="25" s="1"/>
  <c r="D29" i="18"/>
  <c r="D28"/>
  <c r="I5" i="20"/>
  <c r="B44" i="18"/>
  <c r="B43"/>
  <c r="B28"/>
  <c r="B29" i="25" s="1"/>
  <c r="B27" i="18"/>
  <c r="B28" i="25" s="1"/>
  <c r="A12" i="18"/>
  <c r="A21" s="1"/>
  <c r="A22" i="25" s="1"/>
  <c r="A11" i="18"/>
  <c r="A16"/>
  <c r="A16" i="25" s="1"/>
  <c r="A18" i="18"/>
  <c r="A17"/>
  <c r="A15"/>
  <c r="A15" i="25" s="1"/>
  <c r="A8" i="18"/>
  <c r="A8" i="25" s="1"/>
  <c r="A5" i="18"/>
  <c r="A5" i="25" s="1"/>
  <c r="B40" i="18"/>
  <c r="D29" i="25"/>
  <c r="D30"/>
  <c r="A31"/>
  <c r="A29"/>
  <c r="A28"/>
  <c r="A1" i="19"/>
  <c r="H20" i="20"/>
  <c r="R20"/>
  <c r="W20"/>
  <c r="Z20"/>
  <c r="P21"/>
  <c r="T21"/>
  <c r="I4"/>
  <c r="A12" i="25" l="1"/>
  <c r="B30"/>
  <c r="B31" i="18"/>
  <c r="C27"/>
  <c r="C28" i="25" s="1"/>
  <c r="K11" i="22"/>
  <c r="A20" i="18"/>
  <c r="A21" i="25" s="1"/>
  <c r="A11"/>
  <c r="C28" i="18"/>
  <c r="C29" i="25" s="1"/>
  <c r="C17" i="22" l="1"/>
  <c r="K17" s="1"/>
  <c r="K16" s="1"/>
  <c r="C15"/>
  <c r="K15" s="1"/>
  <c r="K14" s="1"/>
  <c r="K25"/>
  <c r="K26" s="1"/>
  <c r="C34" i="19" s="1"/>
  <c r="C35" s="1"/>
  <c r="C54" i="18"/>
  <c r="N6" i="20"/>
  <c r="C32" i="19" l="1"/>
  <c r="C33" s="1"/>
  <c r="C55" i="18"/>
  <c r="K25" i="20"/>
  <c r="L20"/>
  <c r="H23" s="1"/>
  <c r="Q25" s="1"/>
  <c r="C57" i="18"/>
  <c r="C56"/>
  <c r="C47" l="1"/>
  <c r="C58"/>
  <c r="B45"/>
  <c r="C49"/>
  <c r="W25" i="20"/>
  <c r="I28" s="1"/>
  <c r="C36" i="19" s="1"/>
  <c r="C50" i="18" l="1"/>
  <c r="C37" i="19"/>
  <c r="D39" s="1"/>
  <c r="D38"/>
  <c r="B10" l="1"/>
  <c r="H16" l="1"/>
  <c r="E19" s="1"/>
  <c r="H13"/>
  <c r="C13"/>
  <c r="C16"/>
  <c r="C19" l="1"/>
  <c r="C18"/>
  <c r="E18"/>
</calcChain>
</file>

<file path=xl/comments1.xml><?xml version="1.0" encoding="utf-8"?>
<comments xmlns="http://schemas.openxmlformats.org/spreadsheetml/2006/main">
  <authors>
    <author>ksy</author>
  </authors>
  <commentList>
    <comment ref="H16" authorId="0">
      <text>
        <r>
          <rPr>
            <b/>
            <sz val="9"/>
            <color indexed="81"/>
            <rFont val="굴림"/>
            <family val="3"/>
            <charset val="129"/>
          </rPr>
          <t>전력,소방,통신감리비 계</t>
        </r>
      </text>
    </comment>
  </commentList>
</comments>
</file>

<file path=xl/sharedStrings.xml><?xml version="1.0" encoding="utf-8"?>
<sst xmlns="http://schemas.openxmlformats.org/spreadsheetml/2006/main" count="396" uniqueCount="348">
  <si>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</si>
  <si>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</si>
  <si>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</si>
  <si>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</si>
  <si>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</si>
  <si>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</si>
  <si>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</si>
  <si>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      - 책임감리 : 특급 1명</t>
    <phoneticPr fontId="3" type="noConversion"/>
  </si>
  <si>
    <t xml:space="preserve">        - 산      출 : (개월수 × 특급임금)   → 직접인건비 산출</t>
    <phoneticPr fontId="3" type="noConversion"/>
  </si>
  <si>
    <t>(VAT제외)</t>
  </si>
  <si>
    <t xml:space="preserve">    - 전기공사 감리비 산정 : </t>
    <phoneticPr fontId="3" type="noConversion"/>
  </si>
  <si>
    <t xml:space="preserve">                                        </t>
    <phoneticPr fontId="3" type="noConversion"/>
  </si>
  <si>
    <t>(VAT포함)</t>
    <phoneticPr fontId="3" type="noConversion"/>
  </si>
  <si>
    <t xml:space="preserve">    - 소방설비공사 감리비 산정 : </t>
    <phoneticPr fontId="3" type="noConversion"/>
  </si>
  <si>
    <t xml:space="preserve">    - 정보통신공사 감리비 산정 : </t>
    <phoneticPr fontId="3" type="noConversion"/>
  </si>
  <si>
    <t>(VAT제외)</t>
    <phoneticPr fontId="3" type="noConversion"/>
  </si>
  <si>
    <t xml:space="preserve">※ 타법공사 감리비 계 </t>
    <phoneticPr fontId="3" type="noConversion"/>
  </si>
  <si>
    <t xml:space="preserve">  - 건축면적 :</t>
    <phoneticPr fontId="3" type="noConversion"/>
  </si>
  <si>
    <t>비  고</t>
    <phoneticPr fontId="3" type="noConversion"/>
  </si>
  <si>
    <t>[별지 제1호 서식]</t>
    <phoneticPr fontId="3" type="noConversion"/>
  </si>
  <si>
    <t>단위 : 천원</t>
    <phoneticPr fontId="3" type="noConversion"/>
  </si>
  <si>
    <t>[별지 제2호 서식]</t>
    <phoneticPr fontId="3" type="noConversion"/>
  </si>
  <si>
    <t>공종별 총공사비 구성 현황표</t>
    <phoneticPr fontId="3" type="noConversion"/>
  </si>
  <si>
    <t>순공사비</t>
    <phoneticPr fontId="3" type="noConversion"/>
  </si>
  <si>
    <t>구  분</t>
    <phoneticPr fontId="3" type="noConversion"/>
  </si>
  <si>
    <t>분 야</t>
    <phoneticPr fontId="3" type="noConversion"/>
  </si>
  <si>
    <t>공  종</t>
    <phoneticPr fontId="3" type="noConversion"/>
  </si>
  <si>
    <t>토  목</t>
    <phoneticPr fontId="3" type="noConversion"/>
  </si>
  <si>
    <t>(13개공종)</t>
    <phoneticPr fontId="3" type="noConversion"/>
  </si>
  <si>
    <t>토공사</t>
    <phoneticPr fontId="3" type="noConversion"/>
  </si>
  <si>
    <t>흙막이공사</t>
    <phoneticPr fontId="3" type="noConversion"/>
  </si>
  <si>
    <t>옹벽공사</t>
    <phoneticPr fontId="3" type="noConversion"/>
  </si>
  <si>
    <t>우.오수공사</t>
    <phoneticPr fontId="3" type="noConversion"/>
  </si>
  <si>
    <t>공동구공사</t>
    <phoneticPr fontId="3" type="noConversion"/>
  </si>
  <si>
    <t>지하저수조 및 급수공사</t>
    <phoneticPr fontId="3" type="noConversion"/>
  </si>
  <si>
    <t>도로 포장공사</t>
    <phoneticPr fontId="3" type="noConversion"/>
  </si>
  <si>
    <t>정화조시설공사</t>
    <phoneticPr fontId="3" type="noConversion"/>
  </si>
  <si>
    <t>조경공사</t>
    <phoneticPr fontId="3" type="noConversion"/>
  </si>
  <si>
    <t>건  축</t>
    <phoneticPr fontId="3" type="noConversion"/>
  </si>
  <si>
    <t>(23개공종)</t>
    <phoneticPr fontId="3" type="noConversion"/>
  </si>
  <si>
    <t>가시설물 공사</t>
    <phoneticPr fontId="3" type="noConversion"/>
  </si>
  <si>
    <t>지정 및 기초공사</t>
    <phoneticPr fontId="3" type="noConversion"/>
  </si>
  <si>
    <t>철골공사</t>
    <phoneticPr fontId="3" type="noConversion"/>
  </si>
  <si>
    <t>철근콘크리트공사</t>
    <phoneticPr fontId="3" type="noConversion"/>
  </si>
  <si>
    <t>용접공사</t>
    <phoneticPr fontId="3" type="noConversion"/>
  </si>
  <si>
    <t>조적공사</t>
    <phoneticPr fontId="3" type="noConversion"/>
  </si>
  <si>
    <t>미장공사</t>
    <phoneticPr fontId="3" type="noConversion"/>
  </si>
  <si>
    <t>단열공사</t>
    <phoneticPr fontId="3" type="noConversion"/>
  </si>
  <si>
    <t>방수/방습공사</t>
    <phoneticPr fontId="3" type="noConversion"/>
  </si>
  <si>
    <t>목공사</t>
    <phoneticPr fontId="3" type="noConversion"/>
  </si>
  <si>
    <t>가구공사</t>
    <phoneticPr fontId="3" type="noConversion"/>
  </si>
  <si>
    <t>금속공사</t>
    <phoneticPr fontId="3" type="noConversion"/>
  </si>
  <si>
    <t>지붕 및 홈통공사</t>
    <phoneticPr fontId="3" type="noConversion"/>
  </si>
  <si>
    <t>창호공사</t>
    <phoneticPr fontId="3" type="noConversion"/>
  </si>
  <si>
    <t>타일공사</t>
    <phoneticPr fontId="3" type="noConversion"/>
  </si>
  <si>
    <t>도장공사</t>
    <phoneticPr fontId="3" type="noConversion"/>
  </si>
  <si>
    <t>도배공사</t>
    <phoneticPr fontId="3" type="noConversion"/>
  </si>
  <si>
    <t>수장공사</t>
    <phoneticPr fontId="3" type="noConversion"/>
  </si>
  <si>
    <t>주방용구공사</t>
    <phoneticPr fontId="3" type="noConversion"/>
  </si>
  <si>
    <t>기계설비</t>
    <phoneticPr fontId="3" type="noConversion"/>
  </si>
  <si>
    <t>(9개공사)</t>
    <phoneticPr fontId="3" type="noConversion"/>
  </si>
  <si>
    <t>급수설비공사</t>
    <phoneticPr fontId="3" type="noConversion"/>
  </si>
  <si>
    <t>급탕설비공사</t>
    <phoneticPr fontId="3" type="noConversion"/>
  </si>
  <si>
    <t>위생기구 공사</t>
    <phoneticPr fontId="3" type="noConversion"/>
  </si>
  <si>
    <t>오배수 및 통기설비공사</t>
    <phoneticPr fontId="3" type="noConversion"/>
  </si>
  <si>
    <t>난방 설비공사</t>
    <phoneticPr fontId="3" type="noConversion"/>
  </si>
  <si>
    <t>가스 설비공사</t>
    <phoneticPr fontId="3" type="noConversion"/>
  </si>
  <si>
    <t>특수설비공사</t>
    <phoneticPr fontId="3" type="noConversion"/>
  </si>
  <si>
    <t>전기(15개공사)</t>
    <phoneticPr fontId="3" type="noConversion"/>
  </si>
  <si>
    <t>정보통신(13개공사)</t>
    <phoneticPr fontId="3" type="noConversion"/>
  </si>
  <si>
    <t>소방설비(2개공사)</t>
    <phoneticPr fontId="3" type="noConversion"/>
  </si>
  <si>
    <t>일 반 관 리 비</t>
    <phoneticPr fontId="3" type="noConversion"/>
  </si>
  <si>
    <t>소  계</t>
    <phoneticPr fontId="3" type="noConversion"/>
  </si>
  <si>
    <t>소    계</t>
    <phoneticPr fontId="3" type="noConversion"/>
  </si>
  <si>
    <t>원</t>
    <phoneticPr fontId="3" type="noConversion"/>
  </si>
  <si>
    <t>=</t>
    <phoneticPr fontId="3" type="noConversion"/>
  </si>
  <si>
    <t>총 사업비 산출 총괄표</t>
    <phoneticPr fontId="3" type="noConversion"/>
  </si>
  <si>
    <t>구    분</t>
    <phoneticPr fontId="3" type="noConversion"/>
  </si>
  <si>
    <t>전  체</t>
    <phoneticPr fontId="3" type="noConversion"/>
  </si>
  <si>
    <t>구성비</t>
    <phoneticPr fontId="3" type="noConversion"/>
  </si>
  <si>
    <t>감리대상</t>
    <phoneticPr fontId="3" type="noConversion"/>
  </si>
  <si>
    <t>감리제외</t>
    <phoneticPr fontId="3" type="noConversion"/>
  </si>
  <si>
    <t>타법감리</t>
    <phoneticPr fontId="3" type="noConversion"/>
  </si>
  <si>
    <t>주 1. 순공사비란 : 재료비,노무비,경비를 합한 금액임</t>
    <phoneticPr fontId="3" type="noConversion"/>
  </si>
  <si>
    <t xml:space="preserve">   2. 일반관리비와 이윤에 대한 정의 및 산정방법은 "원가계산에 의한 예정가격 작성준칙(예산회계)"에 따름</t>
    <phoneticPr fontId="3" type="noConversion"/>
  </si>
  <si>
    <t xml:space="preserve">   3. 부가가치 세액의 정의와 산정방법은 "부가가치세법"에 따름 </t>
    <phoneticPr fontId="3" type="noConversion"/>
  </si>
  <si>
    <t xml:space="preserve">   4. 간접비란 사업비 중 총 공사비를 제외한 설계비,감리비, 일반분양시설 경비등 사업비성 경비를 말하며, 세부</t>
    <phoneticPr fontId="3" type="noConversion"/>
  </si>
  <si>
    <t xml:space="preserve">      비목은 다음과 같음</t>
    <phoneticPr fontId="3" type="noConversion"/>
  </si>
  <si>
    <t xml:space="preserve">     - 일반 분양시설 경비 : 시공비,운영비,광고홍보비</t>
    <phoneticPr fontId="3" type="noConversion"/>
  </si>
  <si>
    <t xml:space="preserve">     - 분담금 및 부담금 : 인입분담금(가스,전기,수도,지역난방),진입도로,학교용지확보 부담금</t>
    <phoneticPr fontId="3" type="noConversion"/>
  </si>
  <si>
    <t xml:space="preserve">     - 보상비 : 이주대책비,이주보상비</t>
    <phoneticPr fontId="3" type="noConversion"/>
  </si>
  <si>
    <t xml:space="preserve">     - 기타 사업비성 경비 : 제세공과금,측량.교통.환경영향평가 수수료,취득세,등록세,건물 보존등기비 및 입주관</t>
    <phoneticPr fontId="3" type="noConversion"/>
  </si>
  <si>
    <t xml:space="preserve">       리비,분양.임대보증 및 하자 보증수수료등 기타 사업성 경비</t>
    <phoneticPr fontId="3" type="noConversion"/>
  </si>
  <si>
    <t xml:space="preserve">     - 대지비 : 대지구입비,대지구입관련 금융비용 및 제세공과금</t>
    <phoneticPr fontId="3" type="noConversion"/>
  </si>
  <si>
    <t>비탈면 보호공사</t>
    <phoneticPr fontId="3" type="noConversion"/>
  </si>
  <si>
    <t>석축공사</t>
    <phoneticPr fontId="3" type="noConversion"/>
  </si>
  <si>
    <t>교통안전시설물공사</t>
    <phoneticPr fontId="3" type="noConversion"/>
  </si>
  <si>
    <t>부대시설공사</t>
    <phoneticPr fontId="3" type="noConversion"/>
  </si>
  <si>
    <t>공통가설공사</t>
    <phoneticPr fontId="3" type="noConversion"/>
  </si>
  <si>
    <t>유리공사</t>
    <phoneticPr fontId="3" type="noConversion"/>
  </si>
  <si>
    <t>돌공사</t>
    <phoneticPr fontId="3" type="noConversion"/>
  </si>
  <si>
    <t>잡공사</t>
    <phoneticPr fontId="3" type="noConversion"/>
  </si>
  <si>
    <t>자동제어 설비공사</t>
    <phoneticPr fontId="3" type="noConversion"/>
  </si>
  <si>
    <t>소   계</t>
    <phoneticPr fontId="3" type="noConversion"/>
  </si>
  <si>
    <t>이          윤</t>
    <phoneticPr fontId="3" type="noConversion"/>
  </si>
  <si>
    <t>총 공 사 비 계</t>
    <phoneticPr fontId="3" type="noConversion"/>
  </si>
  <si>
    <t>승강기 공사</t>
    <phoneticPr fontId="3" type="noConversion"/>
  </si>
  <si>
    <t>계</t>
    <phoneticPr fontId="3" type="noConversion"/>
  </si>
  <si>
    <t>총공사비</t>
    <phoneticPr fontId="3" type="noConversion"/>
  </si>
  <si>
    <t>순공사비</t>
    <phoneticPr fontId="3" type="noConversion"/>
  </si>
  <si>
    <t>토목공사</t>
    <phoneticPr fontId="3" type="noConversion"/>
  </si>
  <si>
    <t>건축공사</t>
    <phoneticPr fontId="3" type="noConversion"/>
  </si>
  <si>
    <t>기계설비공사</t>
    <phoneticPr fontId="3" type="noConversion"/>
  </si>
  <si>
    <t>전기공사</t>
    <phoneticPr fontId="3" type="noConversion"/>
  </si>
  <si>
    <t>정보통신공사</t>
    <phoneticPr fontId="3" type="noConversion"/>
  </si>
  <si>
    <t>소방설비공사</t>
    <phoneticPr fontId="3" type="noConversion"/>
  </si>
  <si>
    <t>소  계</t>
    <phoneticPr fontId="3" type="noConversion"/>
  </si>
  <si>
    <t>일반관리비</t>
    <phoneticPr fontId="3" type="noConversion"/>
  </si>
  <si>
    <t>이      윤</t>
    <phoneticPr fontId="3" type="noConversion"/>
  </si>
  <si>
    <t>소      계</t>
    <phoneticPr fontId="3" type="noConversion"/>
  </si>
  <si>
    <t>간 접 비</t>
    <phoneticPr fontId="3" type="noConversion"/>
  </si>
  <si>
    <t>설  계  비</t>
    <phoneticPr fontId="3" type="noConversion"/>
  </si>
  <si>
    <t>감  리  비</t>
    <phoneticPr fontId="3" type="noConversion"/>
  </si>
  <si>
    <t>일반분양시설경비</t>
    <phoneticPr fontId="3" type="noConversion"/>
  </si>
  <si>
    <t>분담금 및 부담금</t>
    <phoneticPr fontId="3" type="noConversion"/>
  </si>
  <si>
    <t>보  상  비</t>
    <phoneticPr fontId="3" type="noConversion"/>
  </si>
  <si>
    <t>기타 사업비성 경비</t>
    <phoneticPr fontId="3" type="noConversion"/>
  </si>
  <si>
    <t>대  지  비</t>
    <phoneticPr fontId="3" type="noConversion"/>
  </si>
  <si>
    <t>총사업비 계</t>
    <phoneticPr fontId="3" type="noConversion"/>
  </si>
  <si>
    <t>2007년</t>
  </si>
  <si>
    <t>총공사비(원)</t>
    <phoneticPr fontId="3" type="noConversion"/>
  </si>
  <si>
    <t>단위 : 천원</t>
    <phoneticPr fontId="3" type="noConversion"/>
  </si>
  <si>
    <t>주택건설공사 감리자 모집에 따른 사업개요</t>
    <phoneticPr fontId="3" type="noConversion"/>
  </si>
  <si>
    <t>1. 사업명</t>
    <phoneticPr fontId="3" type="noConversion"/>
  </si>
  <si>
    <t>2. 대지위치</t>
    <phoneticPr fontId="3" type="noConversion"/>
  </si>
  <si>
    <t>3. 사업주체</t>
    <phoneticPr fontId="3" type="noConversion"/>
  </si>
  <si>
    <t>4. 설계자</t>
    <phoneticPr fontId="3" type="noConversion"/>
  </si>
  <si>
    <t>5. 시공자</t>
    <phoneticPr fontId="3" type="noConversion"/>
  </si>
  <si>
    <t>7. 사업개요</t>
    <phoneticPr fontId="3" type="noConversion"/>
  </si>
  <si>
    <t xml:space="preserve">  - 평형별 세대수 및 단위면적</t>
    <phoneticPr fontId="3" type="noConversion"/>
  </si>
  <si>
    <t>세대수</t>
    <phoneticPr fontId="3" type="noConversion"/>
  </si>
  <si>
    <t>전용면적(㎡)</t>
    <phoneticPr fontId="3" type="noConversion"/>
  </si>
  <si>
    <t>공급면적(㎡)</t>
    <phoneticPr fontId="3" type="noConversion"/>
  </si>
  <si>
    <t>8. 사업비</t>
    <phoneticPr fontId="3" type="noConversion"/>
  </si>
  <si>
    <t>구     분</t>
    <phoneticPr fontId="3" type="noConversion"/>
  </si>
  <si>
    <t>금     액</t>
    <phoneticPr fontId="3" type="noConversion"/>
  </si>
  <si>
    <t>감리대상 공사비</t>
    <phoneticPr fontId="3" type="noConversion"/>
  </si>
  <si>
    <t>감리대상 제외공사비</t>
    <phoneticPr fontId="3" type="noConversion"/>
  </si>
  <si>
    <t>0 천원</t>
    <phoneticPr fontId="3" type="noConversion"/>
  </si>
  <si>
    <t>타법감리 대상공사비</t>
    <phoneticPr fontId="3" type="noConversion"/>
  </si>
  <si>
    <t>총   계</t>
    <phoneticPr fontId="3" type="noConversion"/>
  </si>
  <si>
    <t xml:space="preserve">  - 타법감리, 이윤 및 일반관리비</t>
    <phoneticPr fontId="3" type="noConversion"/>
  </si>
  <si>
    <t>전 기 공 사 비</t>
    <phoneticPr fontId="3" type="noConversion"/>
  </si>
  <si>
    <t>정보통신 공사비</t>
    <phoneticPr fontId="3" type="noConversion"/>
  </si>
  <si>
    <t>소 방 공 사 비</t>
    <phoneticPr fontId="3" type="noConversion"/>
  </si>
  <si>
    <t>이윤 및 일반관리비</t>
    <phoneticPr fontId="3" type="noConversion"/>
  </si>
  <si>
    <t>※ 감리대가 산정</t>
    <phoneticPr fontId="3" type="noConversion"/>
  </si>
  <si>
    <t xml:space="preserve">  1. 건축공사 감리비</t>
    <phoneticPr fontId="3" type="noConversion"/>
  </si>
  <si>
    <t>100억원</t>
    <phoneticPr fontId="3" type="noConversion"/>
  </si>
  <si>
    <t>200억원</t>
    <phoneticPr fontId="3" type="noConversion"/>
  </si>
  <si>
    <t>500억원</t>
    <phoneticPr fontId="3" type="noConversion"/>
  </si>
  <si>
    <t>1,000억원</t>
    <phoneticPr fontId="3" type="noConversion"/>
  </si>
  <si>
    <t>2,000억원</t>
    <phoneticPr fontId="3" type="noConversion"/>
  </si>
  <si>
    <t>3,000억원</t>
    <phoneticPr fontId="3" type="noConversion"/>
  </si>
  <si>
    <t>감리인.월</t>
    <phoneticPr fontId="3" type="noConversion"/>
  </si>
  <si>
    <t>300억원</t>
    <phoneticPr fontId="3" type="noConversion"/>
  </si>
  <si>
    <t>비 고</t>
    <phoneticPr fontId="3" type="noConversion"/>
  </si>
  <si>
    <t>요 율</t>
    <phoneticPr fontId="3" type="noConversion"/>
  </si>
  <si>
    <t>※ 총 인.월수(직선보간법으로 산정, 소수점3째자리에서 반올림)</t>
    <phoneticPr fontId="3" type="noConversion"/>
  </si>
  <si>
    <t>※ 공사비 요율(직선보간법으로 산정, 소수점5째자리에서 반올림)</t>
    <phoneticPr fontId="3" type="noConversion"/>
  </si>
  <si>
    <r>
      <t xml:space="preserve">                       126,478,217 × 2.6594% × 1.1 ≒ </t>
    </r>
    <r>
      <rPr>
        <b/>
        <sz val="12"/>
        <color indexed="8"/>
        <rFont val="돋움"/>
        <family val="3"/>
        <charset val="129"/>
      </rPr>
      <t>3,699,917천원(VAT포함)</t>
    </r>
    <phoneticPr fontId="3" type="noConversion"/>
  </si>
  <si>
    <t xml:space="preserve">  2. 타법공사 관리비</t>
    <phoneticPr fontId="3" type="noConversion"/>
  </si>
  <si>
    <t xml:space="preserve">    - 전기공사중 감리대상 공사비</t>
    <phoneticPr fontId="3" type="noConversion"/>
  </si>
  <si>
    <t xml:space="preserve">       * 근거 : 전력기술 관리법 운영요령</t>
    <phoneticPr fontId="3" type="noConversion"/>
  </si>
  <si>
    <t xml:space="preserve">                  산업자원부 고시 제 2005-7호(제12호) 의거</t>
    <phoneticPr fontId="3" type="noConversion"/>
  </si>
  <si>
    <t xml:space="preserve">                  적용일 : 2005년 4월 1일 부터 시행</t>
    <phoneticPr fontId="3" type="noConversion"/>
  </si>
  <si>
    <t xml:space="preserve">                  - 정액가산방식 : 공동주택 300세대 이하 시만 적용</t>
    <phoneticPr fontId="3" type="noConversion"/>
  </si>
  <si>
    <t xml:space="preserve">        - 임금적용 : 고급 감리원 임금적용</t>
    <phoneticPr fontId="3" type="noConversion"/>
  </si>
  <si>
    <t xml:space="preserve">                                               674,000천원(VAT포함)</t>
    <phoneticPr fontId="3" type="noConversion"/>
  </si>
  <si>
    <t xml:space="preserve">                                               37,400천원(VAT포함)</t>
    <phoneticPr fontId="3" type="noConversion"/>
  </si>
  <si>
    <t xml:space="preserve">    </t>
    <phoneticPr fontId="3" type="noConversion"/>
  </si>
  <si>
    <t xml:space="preserve">                                      1,335,800천원(VAT포함)</t>
    <phoneticPr fontId="3" type="noConversion"/>
  </si>
  <si>
    <t>정 보 통 신  감 리 용 역 비  산 출 내 역 서</t>
    <phoneticPr fontId="3" type="noConversion"/>
  </si>
  <si>
    <t>1. 용  역   명 :</t>
    <phoneticPr fontId="3" type="noConversion"/>
  </si>
  <si>
    <t>2. 사 업 기 간 :</t>
    <phoneticPr fontId="3" type="noConversion"/>
  </si>
  <si>
    <t>3. 산 출 근 거 :</t>
    <phoneticPr fontId="3" type="noConversion"/>
  </si>
  <si>
    <t>정보통신공사비</t>
    <phoneticPr fontId="3" type="noConversion"/>
  </si>
  <si>
    <t>⊙ 엔지니어링기술진흥법 : 엔지니어링사업대가의 기준 적용</t>
    <phoneticPr fontId="3" type="noConversion"/>
  </si>
  <si>
    <t>(과학기술부공고 제2004-123호, '04.12.30)</t>
    <phoneticPr fontId="3" type="noConversion"/>
  </si>
  <si>
    <t>4. 산 출 내 역</t>
    <phoneticPr fontId="3" type="noConversion"/>
  </si>
  <si>
    <r>
      <t>가) 감 리 대 가</t>
    </r>
    <r>
      <rPr>
        <sz val="13"/>
        <rFont val="굴림체"/>
        <family val="3"/>
        <charset val="129"/>
      </rPr>
      <t xml:space="preserve">(관련근거:제12조)  </t>
    </r>
    <phoneticPr fontId="3" type="noConversion"/>
  </si>
  <si>
    <t xml:space="preserve">(1)적용기준: 통신부문의 요율[별표2] </t>
    <phoneticPr fontId="3" type="noConversion"/>
  </si>
  <si>
    <t>(2)공사감리요율:</t>
    <phoneticPr fontId="3" type="noConversion"/>
  </si>
  <si>
    <t>억원이하</t>
    <phoneticPr fontId="3" type="noConversion"/>
  </si>
  <si>
    <t xml:space="preserve"> -</t>
    <phoneticPr fontId="3" type="noConversion"/>
  </si>
  <si>
    <t>(3)산출내용</t>
    <phoneticPr fontId="3" type="noConversion"/>
  </si>
  <si>
    <t>y</t>
    <phoneticPr fontId="3" type="noConversion"/>
  </si>
  <si>
    <t>y1</t>
    <phoneticPr fontId="3" type="noConversion"/>
  </si>
  <si>
    <t>-</t>
    <phoneticPr fontId="3" type="noConversion"/>
  </si>
  <si>
    <t>(x - x2)  × (y1 - y2)</t>
    <phoneticPr fontId="3" type="noConversion"/>
  </si>
  <si>
    <t>[%]</t>
    <phoneticPr fontId="3" type="noConversion"/>
  </si>
  <si>
    <t>x1 - x2</t>
    <phoneticPr fontId="3" type="noConversion"/>
  </si>
  <si>
    <t>※</t>
    <phoneticPr fontId="3" type="noConversion"/>
  </si>
  <si>
    <t>x : 당해금액</t>
    <phoneticPr fontId="3" type="noConversion"/>
  </si>
  <si>
    <t>x1 : 큰금액</t>
    <phoneticPr fontId="3" type="noConversion"/>
  </si>
  <si>
    <t>x2 : 작은금액</t>
    <phoneticPr fontId="3" type="noConversion"/>
  </si>
  <si>
    <t>y : 당해공사비요율</t>
    <phoneticPr fontId="3" type="noConversion"/>
  </si>
  <si>
    <t>y1 : 작은금액요율</t>
    <phoneticPr fontId="3" type="noConversion"/>
  </si>
  <si>
    <t>y2 : 큰금액요율</t>
    <phoneticPr fontId="3" type="noConversion"/>
  </si>
  <si>
    <t>(</t>
    <phoneticPr fontId="3" type="noConversion"/>
  </si>
  <si>
    <t>억</t>
    <phoneticPr fontId="3" type="noConversion"/>
  </si>
  <si>
    <t>)</t>
    <phoneticPr fontId="3" type="noConversion"/>
  </si>
  <si>
    <t>×</t>
    <phoneticPr fontId="3" type="noConversion"/>
  </si>
  <si>
    <t>(4) 감리대가</t>
    <phoneticPr fontId="3" type="noConversion"/>
  </si>
  <si>
    <t xml:space="preserve"> ×</t>
    <phoneticPr fontId="3" type="noConversion"/>
  </si>
  <si>
    <t>5. 기 초 금 액 :</t>
    <phoneticPr fontId="3" type="noConversion"/>
  </si>
  <si>
    <t>(VAT별도)</t>
    <phoneticPr fontId="3" type="noConversion"/>
  </si>
  <si>
    <t xml:space="preserve">■ 엔지니어링 기술자 노임단가는 한국엔지니어링진흥협회가 통계법 제15조 규정에 의하여 공표한 노임단가임. </t>
    <phoneticPr fontId="3" type="noConversion"/>
  </si>
  <si>
    <t>용  역  명</t>
    <phoneticPr fontId="3" type="noConversion"/>
  </si>
  <si>
    <t>공 사 개 요</t>
    <phoneticPr fontId="3" type="noConversion"/>
  </si>
  <si>
    <t>적         요</t>
    <phoneticPr fontId="3" type="noConversion"/>
  </si>
  <si>
    <t>구         분</t>
    <phoneticPr fontId="3" type="noConversion"/>
  </si>
  <si>
    <t xml:space="preserve"> 1.  직접인건비</t>
    <phoneticPr fontId="3" type="noConversion"/>
  </si>
  <si>
    <t xml:space="preserve"> 배치되는 감리원수(인*월) * 등급별 감리원 월임금 </t>
    <phoneticPr fontId="3" type="noConversion"/>
  </si>
  <si>
    <t xml:space="preserve"> 2.  제   경   비 </t>
    <phoneticPr fontId="3" type="noConversion"/>
  </si>
  <si>
    <t>직접인건비의 110~120%</t>
    <phoneticPr fontId="3" type="noConversion"/>
  </si>
  <si>
    <t xml:space="preserve"> 3.  기   술   료</t>
    <phoneticPr fontId="3" type="noConversion"/>
  </si>
  <si>
    <t>(직접인건비+제경비)의 20~40%</t>
    <phoneticPr fontId="3" type="noConversion"/>
  </si>
  <si>
    <t xml:space="preserve"> 4.  직 접 경 비</t>
    <phoneticPr fontId="3" type="noConversion"/>
  </si>
  <si>
    <t xml:space="preserve">가) + 나) + 다) + 라)  </t>
    <phoneticPr fontId="3" type="noConversion"/>
  </si>
  <si>
    <t xml:space="preserve">     가) 주   재   비</t>
    <phoneticPr fontId="3" type="noConversion"/>
  </si>
  <si>
    <t>상주 직접인건비의 30%</t>
    <phoneticPr fontId="3" type="noConversion"/>
  </si>
  <si>
    <t xml:space="preserve">     나) 출 장 여 비</t>
    <phoneticPr fontId="3" type="noConversion"/>
  </si>
  <si>
    <t>비상주 직접인건비의 10%</t>
    <phoneticPr fontId="3" type="noConversion"/>
  </si>
  <si>
    <t xml:space="preserve">     다) 도서인쇄비</t>
    <phoneticPr fontId="3" type="noConversion"/>
  </si>
  <si>
    <t>제외</t>
    <phoneticPr fontId="3" type="noConversion"/>
  </si>
  <si>
    <t xml:space="preserve">     라) 현지차량비</t>
    <phoneticPr fontId="3" type="noConversion"/>
  </si>
  <si>
    <t xml:space="preserve"> 5.  합         계</t>
    <phoneticPr fontId="3" type="noConversion"/>
  </si>
  <si>
    <t xml:space="preserve">1 + 2 + 3 + 4  </t>
    <phoneticPr fontId="3" type="noConversion"/>
  </si>
  <si>
    <t xml:space="preserve"> 6.  기 초 금 액</t>
    <phoneticPr fontId="3" type="noConversion"/>
  </si>
  <si>
    <t>VAT 별도</t>
    <phoneticPr fontId="3" type="noConversion"/>
  </si>
  <si>
    <t>감리원 배치기준 : 소방시설공사업법 제18조, 동법시행령 11조 및 동법시행규칙 제17조</t>
  </si>
  <si>
    <t>소 방 감 리 용 역 비  산 출 내 역 서</t>
    <phoneticPr fontId="3" type="noConversion"/>
  </si>
  <si>
    <t>소방감리 대가산정기준 : 소방시설공사업법 제25조 및 소방시설공사업법시행규칙 제21조</t>
    <phoneticPr fontId="3" type="noConversion"/>
  </si>
  <si>
    <t xml:space="preserve">                                     </t>
    <phoneticPr fontId="3" type="noConversion"/>
  </si>
  <si>
    <t xml:space="preserve">                            엔지니어링기술진흥법 제10조 중  "실비정액가산방식"  적용</t>
    <phoneticPr fontId="3" type="noConversion"/>
  </si>
  <si>
    <t>산   출   내   역</t>
    <phoneticPr fontId="3" type="noConversion"/>
  </si>
  <si>
    <t>제14조</t>
    <phoneticPr fontId="3" type="noConversion"/>
  </si>
  <si>
    <t>상   주</t>
    <phoneticPr fontId="3" type="noConversion"/>
  </si>
  <si>
    <t>인,</t>
    <phoneticPr fontId="3" type="noConversion"/>
  </si>
  <si>
    <t>개월,</t>
    <phoneticPr fontId="3" type="noConversion"/>
  </si>
  <si>
    <t>일/월,</t>
    <phoneticPr fontId="3" type="noConversion"/>
  </si>
  <si>
    <t>비상주</t>
    <phoneticPr fontId="3" type="noConversion"/>
  </si>
  <si>
    <t>특급(기술사)</t>
    <phoneticPr fontId="3" type="noConversion"/>
  </si>
  <si>
    <t>제16조</t>
    <phoneticPr fontId="3" type="noConversion"/>
  </si>
  <si>
    <t>제17조</t>
    <phoneticPr fontId="3" type="noConversion"/>
  </si>
  <si>
    <t>제15조</t>
    <phoneticPr fontId="3" type="noConversion"/>
  </si>
  <si>
    <t xml:space="preserve">  - 대지면적 : </t>
    <phoneticPr fontId="3" type="noConversion"/>
  </si>
  <si>
    <t xml:space="preserve">  - 연 면  적 : </t>
    <phoneticPr fontId="3" type="noConversion"/>
  </si>
  <si>
    <t xml:space="preserve">  - 총사업비 :  </t>
    <phoneticPr fontId="3" type="noConversion"/>
  </si>
  <si>
    <t>천원</t>
    <phoneticPr fontId="3" type="noConversion"/>
  </si>
  <si>
    <t xml:space="preserve">  - 대 지  비 :   </t>
    <phoneticPr fontId="3" type="noConversion"/>
  </si>
  <si>
    <t xml:space="preserve">  - 순공사비 :  </t>
    <phoneticPr fontId="3" type="noConversion"/>
  </si>
  <si>
    <t xml:space="preserve">  - 건축공사비 : 126,478,217</t>
    <phoneticPr fontId="3" type="noConversion"/>
  </si>
  <si>
    <t xml:space="preserve"> 천원(VAT제외금액)</t>
  </si>
  <si>
    <t xml:space="preserve">→ 직선보간법 : </t>
    <phoneticPr fontId="3" type="noConversion"/>
  </si>
  <si>
    <t>→ 직선보간법 :</t>
    <phoneticPr fontId="3" type="noConversion"/>
  </si>
  <si>
    <t xml:space="preserve">※ 감리비산정 : </t>
    <phoneticPr fontId="3" type="noConversion"/>
  </si>
  <si>
    <t>천원(VAT미포함)</t>
    <phoneticPr fontId="3" type="noConversion"/>
  </si>
  <si>
    <t>천원(VAT포함)</t>
    <phoneticPr fontId="3" type="noConversion"/>
  </si>
  <si>
    <t>           요율</t>
  </si>
  <si>
    <t>  공사비</t>
  </si>
  <si>
    <t>업  무  별  요  율(%)</t>
  </si>
  <si>
    <t>기본설계</t>
  </si>
  <si>
    <t>실시설계</t>
  </si>
  <si>
    <t>공사감리</t>
  </si>
  <si>
    <t>계</t>
  </si>
  <si>
    <t>1천만원이하</t>
  </si>
  <si>
    <t>2천만원이하</t>
  </si>
  <si>
    <t>3천만원이하</t>
  </si>
  <si>
    <t>5천만원이하</t>
  </si>
  <si>
    <t>1억원이하</t>
  </si>
  <si>
    <t>2억원이하</t>
  </si>
  <si>
    <t>3억원이하</t>
  </si>
  <si>
    <t>5억원이하</t>
  </si>
  <si>
    <t>10억원이하</t>
  </si>
  <si>
    <t>20억원이하</t>
  </si>
  <si>
    <t>30억원이하</t>
  </si>
  <si>
    <t>50억원이하</t>
  </si>
  <si>
    <t>100억원이하</t>
  </si>
  <si>
    <t>200억원이하</t>
  </si>
  <si>
    <t>300억원이하</t>
  </si>
  <si>
    <t>500억원이하</t>
  </si>
  <si>
    <t>1,000억원이하</t>
  </si>
  <si>
    <t>2,000억원이하</t>
  </si>
  <si>
    <t>3,000억원이하</t>
  </si>
  <si>
    <t>5,000억원이하</t>
  </si>
  <si>
    <r>
      <t>■ "공사감리" - 비상주 감리 적용</t>
    </r>
    <r>
      <rPr>
        <sz val="11"/>
        <rFont val="굴림"/>
        <family val="3"/>
        <charset val="129"/>
      </rPr>
      <t xml:space="preserve"> </t>
    </r>
    <phoneticPr fontId="3" type="noConversion"/>
  </si>
  <si>
    <r>
      <t xml:space="preserve">
 </t>
    </r>
    <r>
      <rPr>
        <u/>
        <sz val="10"/>
        <rFont val="굴림"/>
        <family val="3"/>
        <charset val="129"/>
      </rPr>
      <t>연면적</t>
    </r>
    <phoneticPr fontId="3" type="noConversion"/>
  </si>
  <si>
    <t xml:space="preserve"> 아파트 7개동, 500세대, 지하2층, 지상25층 / 지하주차장 및 부대·복리시설, 32개월</t>
    <phoneticPr fontId="3" type="noConversion"/>
  </si>
  <si>
    <r>
      <t xml:space="preserve">□ </t>
    </r>
    <r>
      <rPr>
        <u/>
        <sz val="10"/>
        <rFont val="굴림체"/>
        <family val="3"/>
        <charset val="129"/>
      </rPr>
      <t>감리원 등급별 노임단가</t>
    </r>
    <r>
      <rPr>
        <sz val="10"/>
        <rFont val="굴림체"/>
        <family val="3"/>
        <charset val="129"/>
      </rPr>
      <t>는 한국엔지니어링 진흥협회가 통계법 제15조 규정에 의하여 공표됨.</t>
    </r>
    <phoneticPr fontId="3" type="noConversion"/>
  </si>
  <si>
    <r>
      <t>별표</t>
    </r>
    <r>
      <rPr>
        <sz val="10"/>
        <color indexed="8"/>
        <rFont val="Arial Unicode MS"/>
        <family val="3"/>
      </rPr>
      <t xml:space="preserve"> 4] &lt;</t>
    </r>
    <r>
      <rPr>
        <sz val="10"/>
        <color indexed="8"/>
        <rFont val="돋움"/>
        <family val="3"/>
        <charset val="129"/>
      </rPr>
      <t>개정</t>
    </r>
    <r>
      <rPr>
        <sz val="10"/>
        <color indexed="8"/>
        <rFont val="Arial Unicode MS"/>
        <family val="3"/>
      </rPr>
      <t xml:space="preserve"> 2007.1.24&gt;                                                   </t>
    </r>
  </si>
  <si>
    <t xml:space="preserve">                                                                              </t>
  </si>
  <si>
    <r>
      <t xml:space="preserve">  </t>
    </r>
    <r>
      <rPr>
        <sz val="10"/>
        <color indexed="8"/>
        <rFont val="돋움"/>
        <family val="3"/>
        <charset val="129"/>
      </rPr>
      <t>소방공사감리원의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배치기준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11</t>
    </r>
    <r>
      <rPr>
        <sz val="10"/>
        <color indexed="8"/>
        <rFont val="돋움"/>
        <family val="3"/>
        <charset val="129"/>
      </rPr>
      <t>조관련</t>
    </r>
    <r>
      <rPr>
        <sz val="10"/>
        <color indexed="8"/>
        <rFont val="Arial Unicode MS"/>
        <family val="3"/>
      </rPr>
      <t xml:space="preserve">)                                       </t>
    </r>
  </si>
  <si>
    <r>
      <t xml:space="preserve">  1.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  </t>
    </r>
  </si>
  <si>
    <r>
      <t xml:space="preserve"> 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</si>
  <si>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소방기술사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자격을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취득한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</t>
    </r>
  </si>
  <si>
    <r>
      <t xml:space="preserve">  2. </t>
    </r>
    <r>
      <rPr>
        <sz val="10"/>
        <color indexed="8"/>
        <rFont val="돋움"/>
        <family val="3"/>
        <charset val="129"/>
      </rPr>
      <t>연면적이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20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</t>
    </r>
    <r>
      <rPr>
        <sz val="10"/>
        <color indexed="8"/>
        <rFont val="Arial Unicode MS"/>
        <family val="3"/>
      </rPr>
      <t>(</t>
    </r>
    <r>
      <rPr>
        <sz val="10"/>
        <color indexed="8"/>
        <rFont val="돋움"/>
        <family val="3"/>
        <charset val="129"/>
      </rPr>
      <t>아파트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</si>
  <si>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제외한다</t>
    </r>
    <r>
      <rPr>
        <sz val="10"/>
        <color indexed="8"/>
        <rFont val="Arial Unicode MS"/>
        <family val="3"/>
      </rPr>
      <t xml:space="preserve">)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40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</si>
  <si>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</si>
  <si>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                     </t>
    </r>
  </si>
  <si>
    <r>
      <t xml:space="preserve">  3. </t>
    </r>
    <r>
      <rPr>
        <sz val="10"/>
        <color indexed="8"/>
        <rFont val="돋움"/>
        <family val="3"/>
        <charset val="129"/>
      </rPr>
      <t>물분무등소화설비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또는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제연설비가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설치되는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특정소방대상물이나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3    </t>
    </r>
  </si>
  <si>
    <r>
      <t xml:space="preserve">  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아파트의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</t>
    </r>
    <r>
      <rPr>
        <sz val="10"/>
        <color indexed="8"/>
        <rFont val="Arial Unicode MS"/>
        <family val="3"/>
      </rPr>
      <t xml:space="preserve">      </t>
    </r>
  </si>
  <si>
    <r>
      <t xml:space="preserve">  </t>
    </r>
    <r>
      <rPr>
        <sz val="10"/>
        <color indexed="8"/>
        <rFont val="돋움"/>
        <family val="3"/>
        <charset val="129"/>
      </rPr>
      <t>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고급감리원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  </t>
    </r>
  </si>
  <si>
    <r>
      <t xml:space="preserve">  4.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</t>
    </r>
    <r>
      <rPr>
        <sz val="10"/>
        <color indexed="8"/>
        <rFont val="Arial Unicode MS"/>
        <family val="3"/>
      </rPr>
      <t xml:space="preserve"> 3</t>
    </r>
    <r>
      <rPr>
        <sz val="10"/>
        <color indexed="8"/>
        <rFont val="돋움"/>
        <family val="3"/>
        <charset val="129"/>
      </rPr>
      <t>만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미만이거나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지하층을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포함한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층수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</si>
  <si>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가</t>
    </r>
    <r>
      <rPr>
        <sz val="10"/>
        <color indexed="8"/>
        <rFont val="Arial Unicode MS"/>
        <family val="3"/>
      </rPr>
      <t xml:space="preserve"> 16</t>
    </r>
    <r>
      <rPr>
        <sz val="10"/>
        <color indexed="8"/>
        <rFont val="돋움"/>
        <family val="3"/>
        <charset val="129"/>
      </rPr>
      <t>층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공사현장의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    </t>
    </r>
  </si>
  <si>
    <r>
      <t xml:space="preserve"> 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중급감리원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   </t>
    </r>
  </si>
  <si>
    <r>
      <t xml:space="preserve">  5. </t>
    </r>
    <r>
      <rPr>
        <sz val="10"/>
        <color indexed="8"/>
        <rFont val="돋움"/>
        <family val="3"/>
        <charset val="129"/>
      </rPr>
      <t>연면적</t>
    </r>
    <r>
      <rPr>
        <sz val="10"/>
        <color indexed="8"/>
        <rFont val="Arial Unicode MS"/>
        <family val="3"/>
      </rPr>
      <t xml:space="preserve"> 5</t>
    </r>
    <r>
      <rPr>
        <sz val="10"/>
        <color indexed="8"/>
        <rFont val="돋움"/>
        <family val="3"/>
        <charset val="129"/>
      </rPr>
      <t>천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제곱미터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미만인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특정소방대상물의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   </t>
    </r>
  </si>
  <si>
    <r>
      <t xml:space="preserve">  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  <r>
      <rPr>
        <sz val="10"/>
        <color indexed="8"/>
        <rFont val="Arial Unicode MS"/>
        <family val="3"/>
      </rPr>
      <t xml:space="preserve">.              </t>
    </r>
  </si>
  <si>
    <r>
      <t xml:space="preserve">  6. </t>
    </r>
    <r>
      <rPr>
        <sz val="10"/>
        <color indexed="8"/>
        <rFont val="돋움"/>
        <family val="3"/>
        <charset val="129"/>
      </rPr>
      <t>지하구의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경우</t>
    </r>
    <r>
      <rPr>
        <sz val="10"/>
        <color indexed="8"/>
        <rFont val="Arial Unicode MS"/>
        <family val="3"/>
      </rPr>
      <t xml:space="preserve"> : </t>
    </r>
    <r>
      <rPr>
        <sz val="10"/>
        <color indexed="8"/>
        <rFont val="돋움"/>
        <family val="3"/>
        <charset val="129"/>
      </rPr>
      <t>별표</t>
    </r>
    <r>
      <rPr>
        <sz val="10"/>
        <color indexed="8"/>
        <rFont val="Arial Unicode MS"/>
        <family val="3"/>
      </rPr>
      <t xml:space="preserve"> 1 </t>
    </r>
    <r>
      <rPr>
        <sz val="10"/>
        <color indexed="8"/>
        <rFont val="돋움"/>
        <family val="3"/>
        <charset val="129"/>
      </rPr>
      <t>제</t>
    </r>
    <r>
      <rPr>
        <sz val="10"/>
        <color indexed="8"/>
        <rFont val="Arial Unicode MS"/>
        <family val="3"/>
      </rPr>
      <t>3</t>
    </r>
    <r>
      <rPr>
        <sz val="10"/>
        <color indexed="8"/>
        <rFont val="돋움"/>
        <family val="3"/>
        <charset val="129"/>
      </rPr>
      <t>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부표</t>
    </r>
    <r>
      <rPr>
        <sz val="10"/>
        <color indexed="8"/>
        <rFont val="Arial Unicode MS"/>
        <family val="3"/>
      </rPr>
      <t xml:space="preserve"> 2</t>
    </r>
    <r>
      <rPr>
        <sz val="10"/>
        <color indexed="8"/>
        <rFont val="돋움"/>
        <family val="3"/>
        <charset val="129"/>
      </rPr>
      <t>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따른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초급감리원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이상의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소방감리</t>
    </r>
    <r>
      <rPr>
        <sz val="10"/>
        <color indexed="8"/>
        <rFont val="Arial Unicode MS"/>
        <family val="3"/>
      </rPr>
      <t xml:space="preserve">    </t>
    </r>
  </si>
  <si>
    <r>
      <t xml:space="preserve">  </t>
    </r>
    <r>
      <rPr>
        <sz val="10"/>
        <color indexed="8"/>
        <rFont val="돋움"/>
        <family val="3"/>
        <charset val="129"/>
      </rPr>
      <t>원</t>
    </r>
    <r>
      <rPr>
        <sz val="10"/>
        <color indexed="8"/>
        <rFont val="Arial Unicode MS"/>
        <family val="3"/>
      </rPr>
      <t xml:space="preserve"> 1</t>
    </r>
    <r>
      <rPr>
        <sz val="10"/>
        <color indexed="8"/>
        <rFont val="돋움"/>
        <family val="3"/>
        <charset val="129"/>
      </rPr>
      <t>인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이상을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배치해야</t>
    </r>
    <r>
      <rPr>
        <sz val="10"/>
        <color indexed="8"/>
        <rFont val="Arial Unicode MS"/>
        <family val="3"/>
      </rPr>
      <t xml:space="preserve"> </t>
    </r>
    <r>
      <rPr>
        <sz val="10"/>
        <color indexed="8"/>
        <rFont val="돋움"/>
        <family val="3"/>
        <charset val="129"/>
      </rPr>
      <t>한다</t>
    </r>
  </si>
  <si>
    <t>구 분</t>
  </si>
  <si>
    <t>건설 및 기타</t>
  </si>
  <si>
    <t>2002년</t>
  </si>
  <si>
    <t>2003년</t>
  </si>
  <si>
    <t>2004년</t>
  </si>
  <si>
    <t>2005년</t>
  </si>
  <si>
    <t>2006년</t>
  </si>
  <si>
    <t>기 술 사</t>
  </si>
  <si>
    <t>특급기술자</t>
  </si>
  <si>
    <t>고급기술자</t>
  </si>
  <si>
    <t>중급기술자</t>
  </si>
  <si>
    <t>초급기술자</t>
  </si>
  <si>
    <t>고급기능사</t>
  </si>
  <si>
    <t>중급기능사</t>
  </si>
  <si>
    <t>초급기능사</t>
  </si>
  <si>
    <t xml:space="preserve">  - 사업규모 : </t>
    <phoneticPr fontId="3" type="noConversion"/>
  </si>
  <si>
    <t xml:space="preserve">  - 공사기간 : </t>
    <phoneticPr fontId="3" type="noConversion"/>
  </si>
  <si>
    <t xml:space="preserve">  - 건축면적 :</t>
    <phoneticPr fontId="3" type="noConversion"/>
  </si>
  <si>
    <t>2008.4.1변경</t>
    <phoneticPr fontId="3" type="noConversion"/>
  </si>
  <si>
    <t>형별</t>
    <phoneticPr fontId="3" type="noConversion"/>
  </si>
  <si>
    <t xml:space="preserve">      * 당 현장 규모가 648세대 이므로 실비정액 가산 방식 적용(300~800세대 범위)</t>
    <phoneticPr fontId="3" type="noConversion"/>
  </si>
  <si>
    <t>2008.6.3</t>
    <phoneticPr fontId="3" type="noConversion"/>
  </si>
  <si>
    <t>한국엔지니어링진흥협회 공고-엔지니어링업체임금실태조사보고서</t>
    <phoneticPr fontId="3" type="noConversion"/>
  </si>
  <si>
    <t>2008.1.1적용</t>
    <phoneticPr fontId="3" type="noConversion"/>
  </si>
  <si>
    <r>
      <t xml:space="preserve"> ■ </t>
    </r>
    <r>
      <rPr>
        <sz val="10"/>
        <color indexed="12"/>
        <rFont val="굴림"/>
        <family val="3"/>
        <charset val="129"/>
      </rPr>
      <t>공사비요율에 의한 방식</t>
    </r>
    <r>
      <rPr>
        <sz val="10"/>
        <rFont val="굴림"/>
        <family val="3"/>
        <charset val="129"/>
      </rPr>
      <t xml:space="preserve"> - 공사비에 일정 요율을 곱하여 산출한 금액에 제10조의 규정에 의한 추가업무비용과
    </t>
    </r>
    <r>
      <rPr>
        <u/>
        <sz val="10"/>
        <color indexed="10"/>
        <rFont val="굴림"/>
        <family val="3"/>
        <charset val="129"/>
      </rPr>
      <t>부가가치세를 합산하여 대가를 산출</t>
    </r>
    <r>
      <rPr>
        <sz val="10"/>
        <rFont val="굴림"/>
        <family val="3"/>
        <charset val="129"/>
      </rPr>
      <t>하는 방식</t>
    </r>
    <r>
      <rPr>
        <sz val="10"/>
        <color indexed="12"/>
        <rFont val="굴림"/>
        <family val="3"/>
        <charset val="129"/>
      </rPr>
      <t>(1.건설부분 엔지니어링사업 2.통신·정보처리부문중 정보통신분</t>
    </r>
    <r>
      <rPr>
        <sz val="10"/>
        <rFont val="굴림"/>
        <family val="3"/>
        <charset val="129"/>
      </rPr>
      <t xml:space="preserve">
    </t>
    </r>
    <r>
      <rPr>
        <sz val="10"/>
        <color indexed="12"/>
        <rFont val="굴림"/>
        <family val="3"/>
        <charset val="129"/>
      </rPr>
      <t>야의 엔지니어링사업 3.산업관리부문중 소방설비분야의 엔지니어링사업 /</t>
    </r>
    <r>
      <rPr>
        <u/>
        <sz val="10"/>
        <rFont val="굴림"/>
        <family val="3"/>
        <charset val="129"/>
      </rPr>
      <t xml:space="preserve"> </t>
    </r>
    <r>
      <rPr>
        <u/>
        <sz val="10"/>
        <color indexed="10"/>
        <rFont val="굴림"/>
        <family val="3"/>
        <charset val="129"/>
      </rPr>
      <t xml:space="preserve">2항에 규정된 엔지니어링사업의 경
    우에도 "공사감리"는 실비정액가산방식에 따라 대가를 산출할 수 있다.) </t>
    </r>
    <phoneticPr fontId="3" type="noConversion"/>
  </si>
  <si>
    <t xml:space="preserve">  - 공사(전기)기간 : 2015. 8. ~ 2016. 9.(14개월)</t>
    <phoneticPr fontId="3" type="noConversion"/>
  </si>
  <si>
    <t>부가가치세액</t>
    <phoneticPr fontId="3" type="noConversion"/>
  </si>
</sst>
</file>

<file path=xl/styles.xml><?xml version="1.0" encoding="utf-8"?>
<styleSheet xmlns="http://schemas.openxmlformats.org/spreadsheetml/2006/main">
  <numFmts count="3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.0000%"/>
    <numFmt numFmtId="178" formatCode="_-* #,##0.0000_-;\-* #,##0.0000_-;_-* &quot;-&quot;_-;_-@_-"/>
    <numFmt numFmtId="179" formatCode="0.0"/>
    <numFmt numFmtId="180" formatCode="#,##0.00&quot;㎡&quot;"/>
    <numFmt numFmtId="181" formatCode="0.000"/>
    <numFmt numFmtId="182" formatCode="_-* #,##0.0_-;\-* #,##0.0_-;_-* &quot;-&quot;??_-;_-@_-"/>
    <numFmt numFmtId="183" formatCode="_-* #,##0_-;\-* #,##0_-;_-* &quot;-&quot;??_-;_-@_-"/>
    <numFmt numFmtId="184" formatCode="0.000%"/>
    <numFmt numFmtId="185" formatCode="_-* #,##0.0_-;\-* #,##0.0_-;_-* &quot;-&quot;_-;_-@_-"/>
    <numFmt numFmtId="186" formatCode="0.00000%"/>
    <numFmt numFmtId="187" formatCode="0.0000"/>
    <numFmt numFmtId="188" formatCode="#,##0_ "/>
    <numFmt numFmtId="189" formatCode="#,##0_ &quot;천원&quot;"/>
    <numFmt numFmtId="190" formatCode="0_ "/>
    <numFmt numFmtId="191" formatCode="#,##0_);[Red]\(#,##0\)"/>
    <numFmt numFmtId="192" formatCode="#,##0;[Red]#,##0"/>
    <numFmt numFmtId="193" formatCode="&quot;₩&quot;#,##0_);\(&quot;₩&quot;#,##0\)"/>
    <numFmt numFmtId="194" formatCode="0.0_);\(0.0\)"/>
    <numFmt numFmtId="195" formatCode="0.00000000"/>
    <numFmt numFmtId="196" formatCode="0.0000000_ ;[Red]\-0.0000000\ "/>
    <numFmt numFmtId="197" formatCode="&quot;₩&quot;#,##0;[Red]&quot;₩&quot;#,##0"/>
    <numFmt numFmtId="198" formatCode="&quot;(&quot;#,##0.00&quot;평)&quot;"/>
    <numFmt numFmtId="199" formatCode="#,##0.00&quot;인월&quot;"/>
    <numFmt numFmtId="200" formatCode="0&quot;  &quot;"/>
    <numFmt numFmtId="201" formatCode="_-* #,##0.00;\-* #,##0.00;_-* &quot;-&quot;;_-@"/>
    <numFmt numFmtId="202" formatCode="#,##0.00_ ;[Red]\-#,##0.00\ "/>
    <numFmt numFmtId="203" formatCode="_ * #,##0.0000000_ ;_ * \-#,##0.0000000_ ;_ * &quot;-&quot;_ ;_ @_ "/>
    <numFmt numFmtId="204" formatCode="#,##0;[Red]&quot;△&quot;#,##0"/>
    <numFmt numFmtId="205" formatCode="&quot;·&quot;General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  <font>
      <sz val="10"/>
      <name val="굴림"/>
      <family val="3"/>
      <charset val="129"/>
    </font>
    <font>
      <sz val="10"/>
      <color indexed="12"/>
      <name val="굴림"/>
      <family val="3"/>
      <charset val="129"/>
    </font>
    <font>
      <sz val="9"/>
      <color indexed="10"/>
      <name val="굴림"/>
      <family val="3"/>
      <charset val="129"/>
    </font>
    <font>
      <sz val="8"/>
      <name val="굴림"/>
      <family val="3"/>
      <charset val="129"/>
    </font>
    <font>
      <sz val="10"/>
      <color indexed="55"/>
      <name val="굴림"/>
      <family val="3"/>
      <charset val="129"/>
    </font>
    <font>
      <sz val="9"/>
      <name val="굴림"/>
      <family val="3"/>
      <charset val="129"/>
    </font>
    <font>
      <sz val="8"/>
      <color indexed="55"/>
      <name val="굴림"/>
      <family val="3"/>
      <charset val="129"/>
    </font>
    <font>
      <b/>
      <sz val="10"/>
      <color indexed="12"/>
      <name val="굴림"/>
      <family val="3"/>
      <charset val="129"/>
    </font>
    <font>
      <sz val="9"/>
      <color indexed="12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2"/>
      <name val="굴림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u/>
      <sz val="20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6"/>
      <color indexed="8"/>
      <name val="돋움"/>
      <family val="3"/>
      <charset val="129"/>
    </font>
    <font>
      <sz val="12"/>
      <color indexed="8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3"/>
      <name val="굴림체"/>
      <family val="3"/>
      <charset val="129"/>
    </font>
    <font>
      <b/>
      <sz val="20"/>
      <name val="굴림"/>
      <family val="3"/>
      <charset val="129"/>
    </font>
    <font>
      <sz val="13"/>
      <color indexed="8"/>
      <name val="굴림체"/>
      <family val="3"/>
      <charset val="129"/>
    </font>
    <font>
      <sz val="13"/>
      <color indexed="10"/>
      <name val="굴림체"/>
      <family val="3"/>
      <charset val="129"/>
    </font>
    <font>
      <sz val="13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indexed="11"/>
      <name val="굴림체"/>
      <family val="3"/>
      <charset val="129"/>
    </font>
    <font>
      <b/>
      <sz val="13"/>
      <color indexed="8"/>
      <name val="굴림체"/>
      <family val="3"/>
      <charset val="129"/>
    </font>
    <font>
      <b/>
      <sz val="11"/>
      <name val="굴림"/>
      <family val="3"/>
      <charset val="129"/>
    </font>
    <font>
      <b/>
      <sz val="19"/>
      <name val="굴림체"/>
      <family val="3"/>
      <charset val="129"/>
    </font>
    <font>
      <u/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color indexed="10"/>
      <name val="돋움"/>
      <family val="3"/>
      <charset val="129"/>
    </font>
    <font>
      <sz val="12"/>
      <color indexed="10"/>
      <name val="돋움"/>
      <family val="3"/>
      <charset val="129"/>
    </font>
    <font>
      <sz val="14"/>
      <color indexed="8"/>
      <name val="한양신명조"/>
      <family val="3"/>
      <charset val="129"/>
    </font>
    <font>
      <sz val="11"/>
      <color indexed="10"/>
      <name val="굴림체"/>
      <family val="3"/>
      <charset val="129"/>
    </font>
    <font>
      <u/>
      <sz val="11"/>
      <name val="굴림"/>
      <family val="3"/>
      <charset val="129"/>
    </font>
    <font>
      <u/>
      <sz val="10"/>
      <color indexed="10"/>
      <name val="굴림"/>
      <family val="3"/>
      <charset val="129"/>
    </font>
    <font>
      <u/>
      <sz val="10"/>
      <name val="굴림체"/>
      <family val="3"/>
      <charset val="129"/>
    </font>
    <font>
      <sz val="10"/>
      <color indexed="8"/>
      <name val="Arial Unicode MS"/>
      <family val="3"/>
    </font>
    <font>
      <sz val="10"/>
      <color indexed="8"/>
      <name val="돋움"/>
      <family val="3"/>
      <charset val="129"/>
    </font>
    <font>
      <b/>
      <sz val="9"/>
      <color indexed="21"/>
      <name val="굴림"/>
      <family val="3"/>
      <charset val="129"/>
    </font>
    <font>
      <u/>
      <sz val="8.25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color indexed="63"/>
      <name val="Dotum"/>
      <family val="3"/>
    </font>
    <font>
      <sz val="11"/>
      <color indexed="8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</borders>
  <cellStyleXfs count="117">
    <xf numFmtId="0" fontId="0" fillId="0" borderId="0"/>
    <xf numFmtId="0" fontId="19" fillId="0" borderId="0"/>
    <xf numFmtId="0" fontId="19" fillId="0" borderId="0"/>
    <xf numFmtId="205" fontId="22" fillId="0" borderId="0" applyFill="0" applyBorder="0" applyAlignment="0"/>
    <xf numFmtId="0" fontId="53" fillId="0" borderId="0"/>
    <xf numFmtId="0" fontId="54" fillId="0" borderId="0" applyFont="0" applyFill="0" applyBorder="0" applyAlignment="0" applyProtection="0"/>
    <xf numFmtId="203" fontId="22" fillId="0" borderId="0"/>
    <xf numFmtId="0" fontId="54" fillId="0" borderId="0" applyFont="0" applyFill="0" applyBorder="0" applyAlignment="0" applyProtection="0"/>
    <xf numFmtId="0" fontId="55" fillId="0" borderId="0" applyNumberFormat="0" applyAlignment="0">
      <alignment horizontal="left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202" fontId="19" fillId="0" borderId="0"/>
    <xf numFmtId="200" fontId="22" fillId="0" borderId="0"/>
    <xf numFmtId="0" fontId="56" fillId="0" borderId="0" applyNumberFormat="0" applyAlignment="0">
      <alignment horizontal="left"/>
    </xf>
    <xf numFmtId="38" fontId="57" fillId="2" borderId="0" applyNumberFormat="0" applyBorder="0" applyAlignment="0" applyProtection="0"/>
    <xf numFmtId="0" fontId="58" fillId="0" borderId="0">
      <alignment horizontal="left"/>
    </xf>
    <xf numFmtId="0" fontId="59" fillId="0" borderId="1" applyNumberFormat="0" applyAlignment="0" applyProtection="0">
      <alignment horizontal="left" vertical="center"/>
    </xf>
    <xf numFmtId="0" fontId="59" fillId="0" borderId="2">
      <alignment horizontal="left" vertical="center"/>
    </xf>
    <xf numFmtId="10" fontId="57" fillId="2" borderId="3" applyNumberFormat="0" applyBorder="0" applyAlignment="0" applyProtection="0"/>
    <xf numFmtId="0" fontId="60" fillId="0" borderId="4"/>
    <xf numFmtId="201" fontId="22" fillId="0" borderId="0"/>
    <xf numFmtId="0" fontId="54" fillId="0" borderId="0"/>
    <xf numFmtId="10" fontId="54" fillId="0" borderId="0" applyFont="0" applyFill="0" applyBorder="0" applyAlignment="0" applyProtection="0"/>
    <xf numFmtId="30" fontId="61" fillId="0" borderId="0" applyNumberFormat="0" applyFill="0" applyBorder="0" applyAlignment="0" applyProtection="0">
      <alignment horizontal="left"/>
    </xf>
    <xf numFmtId="0" fontId="60" fillId="0" borderId="0"/>
    <xf numFmtId="40" fontId="62" fillId="0" borderId="0" applyBorder="0">
      <alignment horizontal="right"/>
    </xf>
    <xf numFmtId="204" fontId="4" fillId="0" borderId="5" applyFont="0" applyFill="0" applyBorder="0" applyAlignment="0">
      <alignment horizontal="left" vertical="center"/>
    </xf>
    <xf numFmtId="0" fontId="50" fillId="0" borderId="0" applyNumberFormat="0" applyFill="0" applyBorder="0" applyAlignment="0" applyProtection="0">
      <alignment vertical="top"/>
      <protection locked="0"/>
    </xf>
    <xf numFmtId="40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2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  <xf numFmtId="0" fontId="21" fillId="0" borderId="0"/>
    <xf numFmtId="0" fontId="21" fillId="0" borderId="0"/>
    <xf numFmtId="0" fontId="22" fillId="0" borderId="0">
      <alignment vertical="center"/>
    </xf>
    <xf numFmtId="0" fontId="22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6">
    <xf numFmtId="0" fontId="0" fillId="0" borderId="0" xfId="0"/>
    <xf numFmtId="0" fontId="5" fillId="0" borderId="0" xfId="0" applyFont="1" applyAlignment="1" applyProtection="1">
      <alignment horizontal="lef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right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41" fontId="7" fillId="0" borderId="3" xfId="35" applyNumberFormat="1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/>
      <protection hidden="1"/>
    </xf>
    <xf numFmtId="41" fontId="7" fillId="0" borderId="0" xfId="35" applyFont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left" vertical="center"/>
      <protection hidden="1"/>
    </xf>
    <xf numFmtId="0" fontId="10" fillId="0" borderId="5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left" vertical="center"/>
      <protection hidden="1"/>
    </xf>
    <xf numFmtId="0" fontId="10" fillId="0" borderId="8" xfId="0" applyFont="1" applyBorder="1" applyAlignment="1" applyProtection="1">
      <alignment horizontal="left" vertical="center"/>
      <protection hidden="1"/>
    </xf>
    <xf numFmtId="10" fontId="11" fillId="0" borderId="10" xfId="32" applyNumberFormat="1" applyFont="1" applyBorder="1" applyAlignment="1" applyProtection="1">
      <alignment horizontal="center" vertical="center"/>
      <protection hidden="1"/>
    </xf>
    <xf numFmtId="0" fontId="8" fillId="0" borderId="10" xfId="0" applyFont="1" applyBorder="1" applyAlignment="1" applyProtection="1">
      <alignment horizontal="center" vertical="center"/>
      <protection hidden="1"/>
    </xf>
    <xf numFmtId="0" fontId="10" fillId="0" borderId="10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left" vertical="center"/>
      <protection hidden="1"/>
    </xf>
    <xf numFmtId="0" fontId="5" fillId="0" borderId="8" xfId="0" applyFont="1" applyBorder="1" applyAlignment="1" applyProtection="1">
      <alignment horizontal="left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0" fontId="12" fillId="0" borderId="8" xfId="0" applyFont="1" applyBorder="1" applyAlignment="1" applyProtection="1">
      <alignment horizontal="left" vertical="center"/>
      <protection hidden="1"/>
    </xf>
    <xf numFmtId="10" fontId="13" fillId="0" borderId="10" xfId="32" applyNumberFormat="1" applyFont="1" applyBorder="1" applyAlignment="1" applyProtection="1">
      <alignment horizontal="center" vertical="center"/>
      <protection hidden="1"/>
    </xf>
    <xf numFmtId="0" fontId="8" fillId="0" borderId="9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right" vertical="center"/>
      <protection hidden="1"/>
    </xf>
    <xf numFmtId="0" fontId="6" fillId="0" borderId="6" xfId="0" applyFont="1" applyBorder="1" applyAlignment="1" applyProtection="1">
      <alignment horizontal="right" vertical="center"/>
      <protection hidden="1"/>
    </xf>
    <xf numFmtId="0" fontId="7" fillId="3" borderId="3" xfId="0" applyFont="1" applyFill="1" applyBorder="1" applyAlignment="1" applyProtection="1">
      <alignment horizontal="right" vertical="center"/>
      <protection hidden="1"/>
    </xf>
    <xf numFmtId="10" fontId="7" fillId="0" borderId="3" xfId="32" applyNumberFormat="1" applyFont="1" applyBorder="1" applyAlignment="1" applyProtection="1">
      <alignment horizontal="right" vertical="center"/>
      <protection hidden="1"/>
    </xf>
    <xf numFmtId="0" fontId="21" fillId="0" borderId="0" xfId="40" applyAlignment="1">
      <alignment vertical="center"/>
    </xf>
    <xf numFmtId="0" fontId="24" fillId="0" borderId="0" xfId="40" applyFont="1" applyAlignment="1">
      <alignment vertical="center"/>
    </xf>
    <xf numFmtId="0" fontId="21" fillId="0" borderId="0" xfId="40" applyFill="1" applyBorder="1" applyAlignment="1">
      <alignment vertical="center"/>
    </xf>
    <xf numFmtId="0" fontId="21" fillId="0" borderId="3" xfId="40" applyBorder="1" applyAlignment="1">
      <alignment horizontal="center" vertical="center"/>
    </xf>
    <xf numFmtId="41" fontId="21" fillId="0" borderId="3" xfId="35" applyFont="1" applyBorder="1" applyAlignment="1">
      <alignment horizontal="center" vertical="center"/>
    </xf>
    <xf numFmtId="178" fontId="21" fillId="0" borderId="3" xfId="35" applyNumberFormat="1" applyFont="1" applyBorder="1" applyAlignment="1">
      <alignment horizontal="center" vertical="center"/>
    </xf>
    <xf numFmtId="176" fontId="21" fillId="0" borderId="3" xfId="35" applyNumberFormat="1" applyFont="1" applyBorder="1" applyAlignment="1">
      <alignment horizontal="center" vertical="center"/>
    </xf>
    <xf numFmtId="181" fontId="21" fillId="0" borderId="0" xfId="40" applyNumberFormat="1" applyAlignment="1">
      <alignment vertical="center"/>
    </xf>
    <xf numFmtId="0" fontId="21" fillId="0" borderId="0" xfId="40"/>
    <xf numFmtId="189" fontId="21" fillId="0" borderId="0" xfId="40" applyNumberFormat="1" applyAlignment="1">
      <alignment vertical="center"/>
    </xf>
    <xf numFmtId="0" fontId="21" fillId="0" borderId="0" xfId="40" applyAlignment="1"/>
    <xf numFmtId="189" fontId="21" fillId="0" borderId="0" xfId="40" applyNumberFormat="1" applyAlignment="1"/>
    <xf numFmtId="0" fontId="25" fillId="0" borderId="0" xfId="40" applyFont="1" applyAlignment="1">
      <alignment horizontal="center" vertical="center"/>
    </xf>
    <xf numFmtId="0" fontId="26" fillId="0" borderId="0" xfId="40" applyFont="1"/>
    <xf numFmtId="0" fontId="27" fillId="0" borderId="0" xfId="40" applyFont="1" applyAlignment="1">
      <alignment vertical="center"/>
    </xf>
    <xf numFmtId="0" fontId="26" fillId="0" borderId="0" xfId="40" applyFont="1" applyAlignment="1">
      <alignment vertical="center"/>
    </xf>
    <xf numFmtId="0" fontId="26" fillId="4" borderId="3" xfId="40" applyFont="1" applyFill="1" applyBorder="1" applyAlignment="1">
      <alignment horizontal="center" vertical="center"/>
    </xf>
    <xf numFmtId="0" fontId="26" fillId="0" borderId="3" xfId="40" applyFont="1" applyBorder="1" applyAlignment="1">
      <alignment horizontal="center" vertical="center"/>
    </xf>
    <xf numFmtId="0" fontId="26" fillId="0" borderId="3" xfId="40" applyFont="1" applyBorder="1" applyAlignment="1">
      <alignment vertical="center"/>
    </xf>
    <xf numFmtId="0" fontId="26" fillId="0" borderId="0" xfId="40" applyFont="1" applyBorder="1" applyAlignment="1">
      <alignment horizontal="center" vertical="center"/>
    </xf>
    <xf numFmtId="0" fontId="26" fillId="0" borderId="0" xfId="40" applyFont="1" applyBorder="1" applyAlignment="1">
      <alignment vertical="center"/>
    </xf>
    <xf numFmtId="0" fontId="26" fillId="0" borderId="0" xfId="40" applyFont="1" applyFill="1" applyAlignment="1">
      <alignment vertical="center"/>
    </xf>
    <xf numFmtId="10" fontId="26" fillId="0" borderId="0" xfId="40" applyNumberFormat="1" applyFont="1" applyAlignment="1">
      <alignment vertical="center"/>
    </xf>
    <xf numFmtId="185" fontId="26" fillId="0" borderId="0" xfId="35" applyNumberFormat="1" applyFont="1" applyAlignment="1">
      <alignment vertical="center"/>
    </xf>
    <xf numFmtId="41" fontId="26" fillId="0" borderId="0" xfId="35" applyFont="1" applyAlignment="1">
      <alignment vertical="center"/>
    </xf>
    <xf numFmtId="0" fontId="10" fillId="0" borderId="0" xfId="43" applyFont="1" applyAlignment="1">
      <alignment horizontal="left" vertical="top" wrapText="1"/>
    </xf>
    <xf numFmtId="0" fontId="28" fillId="0" borderId="0" xfId="43" applyFont="1" applyAlignment="1">
      <alignment horizontal="left" vertical="center"/>
    </xf>
    <xf numFmtId="0" fontId="18" fillId="0" borderId="0" xfId="43" applyFont="1" applyAlignment="1">
      <alignment horizontal="left" vertical="center"/>
    </xf>
    <xf numFmtId="0" fontId="30" fillId="0" borderId="0" xfId="43" applyFont="1" applyAlignment="1">
      <alignment horizontal="left" vertical="center"/>
    </xf>
    <xf numFmtId="193" fontId="31" fillId="0" borderId="0" xfId="38" applyNumberFormat="1" applyFont="1" applyAlignment="1">
      <alignment horizontal="center" vertical="center"/>
    </xf>
    <xf numFmtId="0" fontId="20" fillId="0" borderId="0" xfId="43" applyFont="1" applyAlignment="1">
      <alignment horizontal="left" vertical="center"/>
    </xf>
    <xf numFmtId="193" fontId="30" fillId="0" borderId="0" xfId="38" applyNumberFormat="1" applyFont="1" applyAlignment="1">
      <alignment horizontal="center" vertical="center"/>
    </xf>
    <xf numFmtId="0" fontId="32" fillId="0" borderId="0" xfId="43" applyFont="1" applyAlignment="1">
      <alignment vertical="center"/>
    </xf>
    <xf numFmtId="0" fontId="2" fillId="0" borderId="0" xfId="43" applyFont="1" applyAlignment="1">
      <alignment horizontal="left" vertical="center"/>
    </xf>
    <xf numFmtId="0" fontId="32" fillId="0" borderId="0" xfId="43" applyFont="1" applyAlignment="1">
      <alignment horizontal="left" vertical="center"/>
    </xf>
    <xf numFmtId="0" fontId="32" fillId="0" borderId="0" xfId="43" applyFont="1" applyAlignment="1">
      <alignment horizontal="right" vertical="center"/>
    </xf>
    <xf numFmtId="193" fontId="32" fillId="0" borderId="0" xfId="35" applyNumberFormat="1" applyFont="1" applyAlignment="1">
      <alignment horizontal="right" vertical="center"/>
    </xf>
    <xf numFmtId="193" fontId="32" fillId="0" borderId="0" xfId="43" applyNumberFormat="1" applyFont="1" applyAlignment="1">
      <alignment vertical="center"/>
    </xf>
    <xf numFmtId="0" fontId="32" fillId="0" borderId="0" xfId="43" applyFont="1" applyAlignment="1">
      <alignment horizontal="center" vertical="center"/>
    </xf>
    <xf numFmtId="0" fontId="32" fillId="0" borderId="0" xfId="43" applyNumberFormat="1" applyFont="1" applyAlignment="1" applyProtection="1">
      <alignment horizontal="left" vertical="center"/>
      <protection locked="0"/>
    </xf>
    <xf numFmtId="0" fontId="32" fillId="0" borderId="0" xfId="35" applyNumberFormat="1" applyFont="1" applyAlignment="1" applyProtection="1">
      <alignment horizontal="center" vertical="center"/>
      <protection locked="0"/>
    </xf>
    <xf numFmtId="0" fontId="30" fillId="0" borderId="0" xfId="35" applyNumberFormat="1" applyFont="1" applyAlignment="1" applyProtection="1">
      <alignment horizontal="center" vertical="center"/>
      <protection locked="0"/>
    </xf>
    <xf numFmtId="0" fontId="30" fillId="0" borderId="0" xfId="43" applyNumberFormat="1" applyFont="1" applyAlignment="1" applyProtection="1">
      <alignment vertical="center"/>
      <protection locked="0"/>
    </xf>
    <xf numFmtId="0" fontId="30" fillId="0" borderId="0" xfId="43" applyNumberFormat="1" applyFont="1" applyAlignment="1" applyProtection="1">
      <alignment horizontal="right" vertical="center"/>
      <protection locked="0"/>
    </xf>
    <xf numFmtId="0" fontId="30" fillId="0" borderId="0" xfId="43" applyNumberFormat="1" applyFont="1" applyAlignment="1" applyProtection="1">
      <alignment horizontal="left" vertical="center"/>
      <protection locked="0"/>
    </xf>
    <xf numFmtId="0" fontId="30" fillId="0" borderId="0" xfId="43" applyNumberFormat="1" applyFont="1" applyAlignment="1" applyProtection="1">
      <alignment horizontal="center" vertical="center"/>
      <protection locked="0"/>
    </xf>
    <xf numFmtId="0" fontId="32" fillId="0" borderId="0" xfId="43" applyNumberFormat="1" applyFont="1" applyAlignment="1" applyProtection="1">
      <alignment horizontal="center" vertical="center"/>
      <protection locked="0"/>
    </xf>
    <xf numFmtId="0" fontId="32" fillId="0" borderId="0" xfId="43" applyNumberFormat="1" applyFont="1" applyAlignment="1" applyProtection="1">
      <alignment horizontal="right" vertical="center"/>
      <protection locked="0"/>
    </xf>
    <xf numFmtId="0" fontId="31" fillId="0" borderId="0" xfId="43" applyNumberFormat="1" applyFont="1" applyAlignment="1" applyProtection="1">
      <alignment horizontal="center" vertical="center"/>
      <protection locked="0"/>
    </xf>
    <xf numFmtId="0" fontId="32" fillId="0" borderId="0" xfId="43" quotePrefix="1" applyNumberFormat="1" applyFont="1" applyAlignment="1" applyProtection="1">
      <alignment horizontal="center" vertical="center"/>
      <protection locked="0"/>
    </xf>
    <xf numFmtId="0" fontId="30" fillId="0" borderId="0" xfId="43" quotePrefix="1" applyNumberFormat="1" applyFont="1" applyAlignment="1" applyProtection="1">
      <alignment horizontal="right" vertical="center"/>
      <protection locked="0"/>
    </xf>
    <xf numFmtId="0" fontId="30" fillId="0" borderId="0" xfId="43" applyNumberFormat="1" applyFont="1" applyBorder="1" applyAlignment="1" applyProtection="1">
      <alignment horizontal="center" vertical="center" shrinkToFit="1"/>
      <protection locked="0"/>
    </xf>
    <xf numFmtId="0" fontId="20" fillId="0" borderId="0" xfId="43" applyNumberFormat="1" applyFont="1" applyAlignment="1" applyProtection="1">
      <alignment horizontal="left" vertical="center"/>
      <protection locked="0"/>
    </xf>
    <xf numFmtId="0" fontId="33" fillId="0" borderId="0" xfId="43" applyNumberFormat="1" applyFont="1" applyAlignment="1" applyProtection="1">
      <alignment horizontal="left" vertical="center"/>
      <protection locked="0"/>
    </xf>
    <xf numFmtId="0" fontId="33" fillId="0" borderId="0" xfId="43" applyNumberFormat="1" applyFont="1" applyAlignment="1" applyProtection="1">
      <alignment horizontal="center" vertical="center"/>
      <protection locked="0"/>
    </xf>
    <xf numFmtId="0" fontId="33" fillId="0" borderId="0" xfId="35" applyNumberFormat="1" applyFont="1" applyAlignment="1" applyProtection="1">
      <alignment horizontal="center" vertical="center"/>
      <protection locked="0"/>
    </xf>
    <xf numFmtId="0" fontId="33" fillId="0" borderId="0" xfId="43" applyNumberFormat="1" applyFont="1" applyAlignment="1" applyProtection="1">
      <alignment horizontal="right" vertical="center"/>
      <protection locked="0"/>
    </xf>
    <xf numFmtId="0" fontId="33" fillId="0" borderId="0" xfId="43" quotePrefix="1" applyNumberFormat="1" applyFont="1" applyAlignment="1" applyProtection="1">
      <alignment horizontal="center" vertical="center"/>
      <protection locked="0"/>
    </xf>
    <xf numFmtId="0" fontId="33" fillId="0" borderId="19" xfId="35" applyNumberFormat="1" applyFont="1" applyBorder="1" applyAlignment="1" applyProtection="1">
      <alignment horizontal="center" vertical="center"/>
      <protection locked="0"/>
    </xf>
    <xf numFmtId="0" fontId="33" fillId="0" borderId="19" xfId="43" applyNumberFormat="1" applyFont="1" applyBorder="1" applyAlignment="1" applyProtection="1">
      <alignment horizontal="left" vertical="center"/>
      <protection locked="0"/>
    </xf>
    <xf numFmtId="0" fontId="33" fillId="0" borderId="19" xfId="43" quotePrefix="1" applyNumberFormat="1" applyFont="1" applyBorder="1" applyAlignment="1" applyProtection="1">
      <alignment horizontal="center" vertical="center"/>
      <protection locked="0"/>
    </xf>
    <xf numFmtId="0" fontId="33" fillId="0" borderId="19" xfId="43" applyNumberFormat="1" applyFont="1" applyBorder="1" applyAlignment="1" applyProtection="1">
      <alignment horizontal="center" vertical="center"/>
      <protection locked="0"/>
    </xf>
    <xf numFmtId="0" fontId="30" fillId="0" borderId="0" xfId="35" applyNumberFormat="1" applyFont="1" applyAlignment="1" applyProtection="1">
      <alignment horizontal="left" vertical="center"/>
      <protection locked="0"/>
    </xf>
    <xf numFmtId="0" fontId="20" fillId="0" borderId="0" xfId="43" quotePrefix="1" applyNumberFormat="1" applyFont="1" applyAlignment="1" applyProtection="1">
      <alignment horizontal="center" vertical="center"/>
      <protection locked="0"/>
    </xf>
    <xf numFmtId="186" fontId="33" fillId="0" borderId="0" xfId="32" applyNumberFormat="1" applyFont="1" applyAlignment="1" applyProtection="1">
      <alignment horizontal="center" vertical="center" shrinkToFit="1"/>
      <protection locked="0"/>
    </xf>
    <xf numFmtId="196" fontId="30" fillId="0" borderId="0" xfId="43" applyNumberFormat="1" applyFont="1" applyAlignment="1" applyProtection="1">
      <alignment horizontal="center" vertical="center"/>
      <protection locked="0"/>
    </xf>
    <xf numFmtId="0" fontId="28" fillId="0" borderId="0" xfId="43" applyNumberFormat="1" applyFont="1" applyAlignment="1" applyProtection="1">
      <alignment horizontal="left" vertical="center"/>
      <protection locked="0"/>
    </xf>
    <xf numFmtId="0" fontId="34" fillId="0" borderId="0" xfId="43" applyNumberFormat="1" applyFont="1" applyAlignment="1" applyProtection="1">
      <alignment horizontal="left" vertical="center"/>
      <protection locked="0"/>
    </xf>
    <xf numFmtId="41" fontId="30" fillId="0" borderId="0" xfId="35" quotePrefix="1" applyFont="1" applyAlignment="1" applyProtection="1">
      <alignment horizontal="center" vertical="center" shrinkToFit="1"/>
      <protection locked="0"/>
    </xf>
    <xf numFmtId="0" fontId="35" fillId="0" borderId="0" xfId="43" applyNumberFormat="1" applyFont="1" applyAlignment="1" applyProtection="1">
      <alignment horizontal="left" vertical="center"/>
      <protection locked="0"/>
    </xf>
    <xf numFmtId="41" fontId="32" fillId="0" borderId="0" xfId="43" applyNumberFormat="1" applyFont="1" applyAlignment="1">
      <alignment horizontal="center" vertical="center"/>
    </xf>
    <xf numFmtId="0" fontId="30" fillId="0" borderId="0" xfId="43" applyFont="1" applyAlignment="1">
      <alignment horizontal="right" vertical="center"/>
    </xf>
    <xf numFmtId="179" fontId="30" fillId="0" borderId="0" xfId="43" applyNumberFormat="1" applyFont="1" applyAlignment="1">
      <alignment horizontal="center" vertical="center"/>
    </xf>
    <xf numFmtId="41" fontId="30" fillId="0" borderId="0" xfId="35" applyFont="1" applyAlignment="1">
      <alignment horizontal="center" vertical="center"/>
    </xf>
    <xf numFmtId="0" fontId="35" fillId="0" borderId="0" xfId="43" applyFont="1" applyAlignment="1">
      <alignment horizontal="left" vertical="center"/>
    </xf>
    <xf numFmtId="192" fontId="32" fillId="0" borderId="0" xfId="43" applyNumberFormat="1" applyFont="1" applyAlignment="1">
      <alignment horizontal="center" vertical="center"/>
    </xf>
    <xf numFmtId="179" fontId="32" fillId="0" borderId="0" xfId="43" applyNumberFormat="1" applyFont="1" applyAlignment="1">
      <alignment horizontal="center" vertical="center"/>
    </xf>
    <xf numFmtId="194" fontId="32" fillId="0" borderId="0" xfId="43" applyNumberFormat="1" applyFont="1" applyAlignment="1">
      <alignment vertical="center"/>
    </xf>
    <xf numFmtId="41" fontId="32" fillId="0" borderId="0" xfId="35" applyFont="1" applyAlignment="1">
      <alignment horizontal="center" vertical="center"/>
    </xf>
    <xf numFmtId="0" fontId="28" fillId="0" borderId="0" xfId="43" applyFont="1" applyAlignment="1">
      <alignment horizontal="center" vertical="center"/>
    </xf>
    <xf numFmtId="0" fontId="37" fillId="0" borderId="0" xfId="42" applyFont="1" applyAlignment="1">
      <alignment horizontal="center" vertical="center"/>
    </xf>
    <xf numFmtId="0" fontId="5" fillId="0" borderId="0" xfId="42" applyFont="1" applyAlignment="1">
      <alignment horizontal="center" vertical="center"/>
    </xf>
    <xf numFmtId="0" fontId="5" fillId="0" borderId="0" xfId="42" applyFont="1" applyAlignment="1">
      <alignment vertical="center"/>
    </xf>
    <xf numFmtId="0" fontId="5" fillId="0" borderId="0" xfId="42" applyFont="1" applyAlignment="1">
      <alignment horizontal="left" vertical="center"/>
    </xf>
    <xf numFmtId="0" fontId="36" fillId="0" borderId="0" xfId="42" applyFont="1" applyAlignment="1">
      <alignment horizontal="left" vertical="center"/>
    </xf>
    <xf numFmtId="0" fontId="7" fillId="0" borderId="0" xfId="42" applyFont="1" applyBorder="1" applyAlignment="1">
      <alignment horizontal="left" vertical="center"/>
    </xf>
    <xf numFmtId="0" fontId="5" fillId="0" borderId="0" xfId="42" applyFont="1" applyBorder="1" applyAlignment="1">
      <alignment horizontal="center" vertical="center"/>
    </xf>
    <xf numFmtId="0" fontId="7" fillId="0" borderId="20" xfId="42" applyFont="1" applyBorder="1" applyAlignment="1">
      <alignment horizontal="left" vertical="center"/>
    </xf>
    <xf numFmtId="0" fontId="5" fillId="0" borderId="20" xfId="42" applyFont="1" applyBorder="1" applyAlignment="1">
      <alignment horizontal="center" vertical="center"/>
    </xf>
    <xf numFmtId="0" fontId="7" fillId="0" borderId="6" xfId="42" applyFont="1" applyBorder="1" applyAlignment="1">
      <alignment horizontal="left" vertical="center"/>
    </xf>
    <xf numFmtId="0" fontId="5" fillId="0" borderId="6" xfId="42" applyFont="1" applyBorder="1" applyAlignment="1">
      <alignment horizontal="center" vertical="center"/>
    </xf>
    <xf numFmtId="0" fontId="5" fillId="5" borderId="21" xfId="42" applyFont="1" applyFill="1" applyBorder="1" applyAlignment="1">
      <alignment horizontal="center" vertical="center"/>
    </xf>
    <xf numFmtId="0" fontId="7" fillId="0" borderId="22" xfId="42" applyFont="1" applyBorder="1" applyAlignment="1">
      <alignment horizontal="left" vertical="center"/>
    </xf>
    <xf numFmtId="0" fontId="7" fillId="0" borderId="23" xfId="42" applyFont="1" applyBorder="1" applyAlignment="1">
      <alignment horizontal="left" vertical="center"/>
    </xf>
    <xf numFmtId="0" fontId="7" fillId="0" borderId="0" xfId="42" applyFont="1" applyBorder="1" applyAlignment="1">
      <alignment horizontal="center" vertical="center"/>
    </xf>
    <xf numFmtId="183" fontId="39" fillId="0" borderId="16" xfId="34" applyNumberFormat="1" applyFont="1" applyBorder="1" applyAlignment="1">
      <alignment horizontal="center" vertical="center"/>
    </xf>
    <xf numFmtId="190" fontId="16" fillId="0" borderId="25" xfId="32" applyNumberFormat="1" applyFont="1" applyBorder="1" applyAlignment="1">
      <alignment horizontal="center" vertical="center"/>
    </xf>
    <xf numFmtId="183" fontId="7" fillId="0" borderId="27" xfId="34" applyNumberFormat="1" applyFont="1" applyBorder="1" applyAlignment="1">
      <alignment horizontal="right" vertical="center"/>
    </xf>
    <xf numFmtId="0" fontId="16" fillId="0" borderId="24" xfId="42" applyFont="1" applyBorder="1" applyAlignment="1">
      <alignment horizontal="center" vertical="center"/>
    </xf>
    <xf numFmtId="190" fontId="16" fillId="0" borderId="15" xfId="32" applyNumberFormat="1" applyFont="1" applyBorder="1" applyAlignment="1">
      <alignment horizontal="center" vertical="center"/>
    </xf>
    <xf numFmtId="41" fontId="16" fillId="0" borderId="13" xfId="35" applyFont="1" applyBorder="1" applyAlignment="1">
      <alignment horizontal="center" vertical="center"/>
    </xf>
    <xf numFmtId="183" fontId="7" fillId="0" borderId="28" xfId="34" applyNumberFormat="1" applyFont="1" applyBorder="1" applyAlignment="1">
      <alignment horizontal="center" vertical="center"/>
    </xf>
    <xf numFmtId="0" fontId="7" fillId="0" borderId="29" xfId="42" applyFont="1" applyBorder="1" applyAlignment="1">
      <alignment horizontal="left" vertical="center"/>
    </xf>
    <xf numFmtId="182" fontId="7" fillId="0" borderId="20" xfId="34" applyNumberFormat="1" applyFont="1" applyBorder="1" applyAlignment="1">
      <alignment vertical="center"/>
    </xf>
    <xf numFmtId="183" fontId="7" fillId="0" borderId="20" xfId="34" applyNumberFormat="1" applyFont="1" applyBorder="1" applyAlignment="1">
      <alignment horizontal="center" vertical="center"/>
    </xf>
    <xf numFmtId="183" fontId="39" fillId="0" borderId="30" xfId="34" applyNumberFormat="1" applyFont="1" applyBorder="1" applyAlignment="1">
      <alignment horizontal="center" vertical="center"/>
    </xf>
    <xf numFmtId="0" fontId="7" fillId="0" borderId="31" xfId="42" applyFont="1" applyBorder="1" applyAlignment="1">
      <alignment horizontal="center" vertical="center"/>
    </xf>
    <xf numFmtId="183" fontId="7" fillId="0" borderId="6" xfId="34" applyNumberFormat="1" applyFont="1" applyBorder="1" applyAlignment="1">
      <alignment horizontal="center" vertical="center"/>
    </xf>
    <xf numFmtId="183" fontId="7" fillId="0" borderId="6" xfId="34" applyNumberFormat="1" applyFont="1" applyBorder="1" applyAlignment="1">
      <alignment horizontal="left" vertical="center"/>
    </xf>
    <xf numFmtId="9" fontId="7" fillId="0" borderId="6" xfId="32" applyFont="1" applyBorder="1" applyAlignment="1">
      <alignment horizontal="center" vertical="center"/>
    </xf>
    <xf numFmtId="183" fontId="7" fillId="0" borderId="32" xfId="34" applyNumberFormat="1" applyFont="1" applyBorder="1" applyAlignment="1">
      <alignment horizontal="center" vertical="center"/>
    </xf>
    <xf numFmtId="0" fontId="7" fillId="0" borderId="22" xfId="42" applyFont="1" applyBorder="1" applyAlignment="1">
      <alignment horizontal="center" vertical="center"/>
    </xf>
    <xf numFmtId="182" fontId="7" fillId="0" borderId="0" xfId="34" applyNumberFormat="1" applyFont="1" applyBorder="1" applyAlignment="1">
      <alignment horizontal="left" vertical="center"/>
    </xf>
    <xf numFmtId="9" fontId="7" fillId="0" borderId="0" xfId="32" applyFont="1" applyBorder="1" applyAlignment="1">
      <alignment horizontal="center" vertical="center"/>
    </xf>
    <xf numFmtId="183" fontId="7" fillId="0" borderId="0" xfId="34" applyNumberFormat="1" applyFont="1" applyBorder="1" applyAlignment="1">
      <alignment horizontal="center" vertical="center"/>
    </xf>
    <xf numFmtId="183" fontId="7" fillId="0" borderId="0" xfId="34" applyNumberFormat="1" applyFont="1" applyBorder="1" applyAlignment="1">
      <alignment horizontal="left" vertical="center"/>
    </xf>
    <xf numFmtId="183" fontId="7" fillId="0" borderId="16" xfId="34" applyNumberFormat="1" applyFont="1" applyBorder="1" applyAlignment="1">
      <alignment horizontal="center" vertical="center"/>
    </xf>
    <xf numFmtId="0" fontId="7" fillId="0" borderId="29" xfId="42" applyFont="1" applyBorder="1" applyAlignment="1">
      <alignment horizontal="center" vertical="center"/>
    </xf>
    <xf numFmtId="182" fontId="7" fillId="0" borderId="33" xfId="34" applyNumberFormat="1" applyFont="1" applyBorder="1" applyAlignment="1">
      <alignment horizontal="left" vertical="center"/>
    </xf>
    <xf numFmtId="182" fontId="7" fillId="0" borderId="20" xfId="34" applyNumberFormat="1" applyFont="1" applyBorder="1" applyAlignment="1">
      <alignment horizontal="left" vertical="center"/>
    </xf>
    <xf numFmtId="9" fontId="7" fillId="0" borderId="20" xfId="32" applyFont="1" applyBorder="1" applyAlignment="1">
      <alignment horizontal="center" vertical="center"/>
    </xf>
    <xf numFmtId="182" fontId="7" fillId="0" borderId="6" xfId="34" applyNumberFormat="1" applyFont="1" applyBorder="1" applyAlignment="1">
      <alignment horizontal="left" vertical="center"/>
    </xf>
    <xf numFmtId="188" fontId="5" fillId="0" borderId="0" xfId="42" applyNumberFormat="1" applyFont="1" applyAlignment="1">
      <alignment horizontal="center" vertical="center"/>
    </xf>
    <xf numFmtId="191" fontId="36" fillId="0" borderId="0" xfId="42" applyNumberFormat="1" applyFont="1" applyAlignment="1">
      <alignment horizontal="left" vertical="center"/>
    </xf>
    <xf numFmtId="0" fontId="7" fillId="0" borderId="6" xfId="42" applyFont="1" applyBorder="1" applyAlignment="1">
      <alignment horizontal="left" vertical="top" wrapText="1"/>
    </xf>
    <xf numFmtId="191" fontId="7" fillId="0" borderId="20" xfId="42" applyNumberFormat="1" applyFont="1" applyBorder="1" applyAlignment="1">
      <alignment horizontal="left" vertical="center"/>
    </xf>
    <xf numFmtId="0" fontId="5" fillId="0" borderId="34" xfId="42" applyFont="1" applyBorder="1" applyAlignment="1">
      <alignment horizontal="center" vertical="center"/>
    </xf>
    <xf numFmtId="0" fontId="7" fillId="0" borderId="0" xfId="42" applyFont="1" applyBorder="1" applyAlignment="1">
      <alignment vertical="center"/>
    </xf>
    <xf numFmtId="191" fontId="7" fillId="0" borderId="0" xfId="42" applyNumberFormat="1" applyFont="1" applyBorder="1" applyAlignment="1">
      <alignment horizontal="left" vertical="center"/>
    </xf>
    <xf numFmtId="0" fontId="5" fillId="0" borderId="35" xfId="42" applyFont="1" applyBorder="1" applyAlignment="1">
      <alignment horizontal="center" vertical="center"/>
    </xf>
    <xf numFmtId="191" fontId="7" fillId="0" borderId="6" xfId="42" applyNumberFormat="1" applyFont="1" applyBorder="1" applyAlignment="1">
      <alignment horizontal="left" vertical="center"/>
    </xf>
    <xf numFmtId="0" fontId="5" fillId="0" borderId="36" xfId="42" applyFont="1" applyBorder="1" applyAlignment="1">
      <alignment horizontal="center" vertical="center"/>
    </xf>
    <xf numFmtId="0" fontId="5" fillId="5" borderId="37" xfId="42" applyFont="1" applyFill="1" applyBorder="1" applyAlignment="1">
      <alignment horizontal="center" vertical="center"/>
    </xf>
    <xf numFmtId="0" fontId="39" fillId="0" borderId="38" xfId="42" applyFont="1" applyBorder="1" applyAlignment="1">
      <alignment horizontal="left" vertical="center"/>
    </xf>
    <xf numFmtId="0" fontId="12" fillId="0" borderId="39" xfId="42" applyFont="1" applyBorder="1" applyAlignment="1">
      <alignment horizontal="center" vertical="center"/>
    </xf>
    <xf numFmtId="190" fontId="16" fillId="0" borderId="26" xfId="42" applyNumberFormat="1" applyFont="1" applyBorder="1" applyAlignment="1">
      <alignment horizontal="center" vertical="center"/>
    </xf>
    <xf numFmtId="190" fontId="16" fillId="0" borderId="26" xfId="32" applyNumberFormat="1" applyFont="1" applyBorder="1" applyAlignment="1">
      <alignment horizontal="center" vertical="center"/>
    </xf>
    <xf numFmtId="9" fontId="16" fillId="0" borderId="26" xfId="32" applyFont="1" applyBorder="1" applyAlignment="1">
      <alignment horizontal="center" vertical="center"/>
    </xf>
    <xf numFmtId="191" fontId="16" fillId="0" borderId="26" xfId="32" applyNumberFormat="1" applyFont="1" applyBorder="1" applyAlignment="1">
      <alignment horizontal="center" vertical="center"/>
    </xf>
    <xf numFmtId="41" fontId="16" fillId="0" borderId="26" xfId="35" applyFont="1" applyBorder="1" applyAlignment="1">
      <alignment horizontal="center" vertical="center"/>
    </xf>
    <xf numFmtId="0" fontId="7" fillId="0" borderId="40" xfId="42" applyFont="1" applyBorder="1" applyAlignment="1">
      <alignment horizontal="center" vertical="center"/>
    </xf>
    <xf numFmtId="0" fontId="12" fillId="0" borderId="41" xfId="42" applyFont="1" applyBorder="1" applyAlignment="1">
      <alignment horizontal="center" vertical="center"/>
    </xf>
    <xf numFmtId="0" fontId="16" fillId="0" borderId="14" xfId="42" applyFont="1" applyBorder="1" applyAlignment="1">
      <alignment horizontal="center" vertical="center"/>
    </xf>
    <xf numFmtId="190" fontId="16" fillId="0" borderId="13" xfId="34" applyNumberFormat="1" applyFont="1" applyBorder="1" applyAlignment="1">
      <alignment horizontal="center" vertical="center"/>
    </xf>
    <xf numFmtId="190" fontId="16" fillId="0" borderId="13" xfId="32" applyNumberFormat="1" applyFont="1" applyBorder="1" applyAlignment="1">
      <alignment horizontal="center" vertical="center"/>
    </xf>
    <xf numFmtId="9" fontId="16" fillId="0" borderId="13" xfId="32" applyFont="1" applyBorder="1" applyAlignment="1">
      <alignment horizontal="center" vertical="center"/>
    </xf>
    <xf numFmtId="0" fontId="39" fillId="0" borderId="42" xfId="42" applyFont="1" applyBorder="1" applyAlignment="1">
      <alignment horizontal="left" vertical="center"/>
    </xf>
    <xf numFmtId="191" fontId="7" fillId="0" borderId="20" xfId="34" applyNumberFormat="1" applyFont="1" applyBorder="1" applyAlignment="1">
      <alignment vertical="center"/>
    </xf>
    <xf numFmtId="0" fontId="7" fillId="0" borderId="43" xfId="42" applyFont="1" applyBorder="1" applyAlignment="1">
      <alignment vertical="center"/>
    </xf>
    <xf numFmtId="191" fontId="7" fillId="0" borderId="6" xfId="34" applyNumberFormat="1" applyFont="1" applyBorder="1" applyAlignment="1">
      <alignment horizontal="left" vertical="center"/>
    </xf>
    <xf numFmtId="0" fontId="39" fillId="0" borderId="38" xfId="42" applyFont="1" applyBorder="1" applyAlignment="1">
      <alignment vertical="center"/>
    </xf>
    <xf numFmtId="191" fontId="7" fillId="0" borderId="0" xfId="34" applyNumberFormat="1" applyFont="1" applyBorder="1" applyAlignment="1">
      <alignment horizontal="left" vertical="center"/>
    </xf>
    <xf numFmtId="0" fontId="7" fillId="0" borderId="38" xfId="42" applyFont="1" applyBorder="1" applyAlignment="1">
      <alignment vertical="center"/>
    </xf>
    <xf numFmtId="0" fontId="39" fillId="0" borderId="42" xfId="42" applyFont="1" applyBorder="1" applyAlignment="1">
      <alignment vertical="center"/>
    </xf>
    <xf numFmtId="191" fontId="7" fillId="0" borderId="20" xfId="34" applyNumberFormat="1" applyFont="1" applyBorder="1" applyAlignment="1">
      <alignment horizontal="left" vertical="center"/>
    </xf>
    <xf numFmtId="191" fontId="7" fillId="0" borderId="0" xfId="32" applyNumberFormat="1" applyFont="1" applyBorder="1" applyAlignment="1">
      <alignment horizontal="center" vertical="center"/>
    </xf>
    <xf numFmtId="0" fontId="7" fillId="0" borderId="7" xfId="42" applyFont="1" applyBorder="1" applyAlignment="1">
      <alignment horizontal="center" vertical="center"/>
    </xf>
    <xf numFmtId="182" fontId="39" fillId="0" borderId="2" xfId="34" applyNumberFormat="1" applyFont="1" applyBorder="1" applyAlignment="1">
      <alignment horizontal="left" vertical="center"/>
    </xf>
    <xf numFmtId="191" fontId="39" fillId="0" borderId="2" xfId="34" applyNumberFormat="1" applyFont="1" applyBorder="1" applyAlignment="1">
      <alignment horizontal="left" vertical="center"/>
    </xf>
    <xf numFmtId="183" fontId="39" fillId="0" borderId="2" xfId="34" applyNumberFormat="1" applyFont="1" applyBorder="1" applyAlignment="1">
      <alignment horizontal="center" vertical="center"/>
    </xf>
    <xf numFmtId="183" fontId="39" fillId="0" borderId="44" xfId="34" applyNumberFormat="1" applyFont="1" applyBorder="1" applyAlignment="1">
      <alignment horizontal="center" vertical="center"/>
    </xf>
    <xf numFmtId="0" fontId="39" fillId="5" borderId="45" xfId="42" applyFont="1" applyFill="1" applyBorder="1" applyAlignment="1">
      <alignment vertical="center"/>
    </xf>
    <xf numFmtId="0" fontId="7" fillId="5" borderId="46" xfId="42" applyFont="1" applyFill="1" applyBorder="1" applyAlignment="1">
      <alignment horizontal="center" vertical="center"/>
    </xf>
    <xf numFmtId="182" fontId="39" fillId="5" borderId="47" xfId="34" applyNumberFormat="1" applyFont="1" applyFill="1" applyBorder="1" applyAlignment="1">
      <alignment horizontal="left" vertical="center"/>
    </xf>
    <xf numFmtId="183" fontId="39" fillId="5" borderId="48" xfId="34" applyNumberFormat="1" applyFont="1" applyFill="1" applyBorder="1" applyAlignment="1">
      <alignment horizontal="center" vertical="center"/>
    </xf>
    <xf numFmtId="0" fontId="39" fillId="5" borderId="49" xfId="42" applyFont="1" applyFill="1" applyBorder="1" applyAlignment="1">
      <alignment horizontal="center" vertical="center"/>
    </xf>
    <xf numFmtId="191" fontId="5" fillId="0" borderId="0" xfId="42" applyNumberFormat="1" applyFont="1" applyAlignment="1">
      <alignment horizontal="left" vertical="center"/>
    </xf>
    <xf numFmtId="41" fontId="21" fillId="0" borderId="0" xfId="40" applyNumberFormat="1" applyAlignment="1">
      <alignment vertical="center"/>
    </xf>
    <xf numFmtId="0" fontId="21" fillId="0" borderId="0" xfId="40" applyFont="1" applyAlignment="1">
      <alignment vertical="center"/>
    </xf>
    <xf numFmtId="0" fontId="40" fillId="0" borderId="0" xfId="40" applyFont="1" applyAlignment="1">
      <alignment vertical="center"/>
    </xf>
    <xf numFmtId="180" fontId="21" fillId="0" borderId="0" xfId="40" applyNumberFormat="1" applyAlignment="1">
      <alignment vertical="center"/>
    </xf>
    <xf numFmtId="198" fontId="21" fillId="0" borderId="0" xfId="40" applyNumberFormat="1" applyAlignment="1">
      <alignment vertical="center"/>
    </xf>
    <xf numFmtId="0" fontId="21" fillId="0" borderId="0" xfId="40" applyFont="1" applyFill="1" applyBorder="1" applyAlignment="1">
      <alignment vertical="center"/>
    </xf>
    <xf numFmtId="180" fontId="40" fillId="0" borderId="0" xfId="40" applyNumberFormat="1" applyFont="1" applyAlignment="1">
      <alignment vertical="center"/>
    </xf>
    <xf numFmtId="0" fontId="21" fillId="0" borderId="3" xfId="40" applyFont="1" applyBorder="1" applyAlignment="1">
      <alignment horizontal="center" vertical="center"/>
    </xf>
    <xf numFmtId="41" fontId="26" fillId="0" borderId="0" xfId="40" applyNumberFormat="1" applyFont="1" applyAlignment="1">
      <alignment vertical="center"/>
    </xf>
    <xf numFmtId="199" fontId="26" fillId="0" borderId="0" xfId="40" applyNumberFormat="1" applyFont="1" applyAlignment="1">
      <alignment vertical="center"/>
    </xf>
    <xf numFmtId="177" fontId="26" fillId="0" borderId="0" xfId="32" applyNumberFormat="1" applyFont="1" applyAlignment="1">
      <alignment vertical="center"/>
    </xf>
    <xf numFmtId="41" fontId="26" fillId="0" borderId="0" xfId="35" applyNumberFormat="1" applyFont="1" applyAlignment="1">
      <alignment vertical="center"/>
    </xf>
    <xf numFmtId="0" fontId="41" fillId="0" borderId="0" xfId="40" applyFont="1" applyAlignment="1">
      <alignment vertical="center"/>
    </xf>
    <xf numFmtId="41" fontId="30" fillId="0" borderId="0" xfId="43" applyNumberFormat="1" applyFont="1" applyAlignment="1">
      <alignment vertical="center"/>
    </xf>
    <xf numFmtId="0" fontId="42" fillId="0" borderId="3" xfId="0" applyFont="1" applyBorder="1" applyAlignment="1">
      <alignment horizontal="justify" wrapText="1"/>
    </xf>
    <xf numFmtId="0" fontId="42" fillId="0" borderId="3" xfId="0" applyFont="1" applyBorder="1" applyAlignment="1">
      <alignment horizontal="center" wrapText="1"/>
    </xf>
    <xf numFmtId="0" fontId="42" fillId="0" borderId="3" xfId="0" applyFont="1" applyBorder="1" applyAlignment="1">
      <alignment horizontal="right" wrapText="1"/>
    </xf>
    <xf numFmtId="0" fontId="43" fillId="0" borderId="0" xfId="43" applyNumberFormat="1" applyFont="1" applyAlignment="1" applyProtection="1">
      <alignment horizontal="center" vertical="center"/>
      <protection locked="0"/>
    </xf>
    <xf numFmtId="0" fontId="44" fillId="0" borderId="0" xfId="43" applyFont="1" applyAlignment="1">
      <alignment horizontal="left" vertical="center"/>
    </xf>
    <xf numFmtId="0" fontId="5" fillId="0" borderId="0" xfId="43" applyFont="1" applyAlignment="1">
      <alignment horizontal="left" vertical="center"/>
    </xf>
    <xf numFmtId="0" fontId="7" fillId="0" borderId="36" xfId="42" applyFont="1" applyBorder="1" applyAlignment="1">
      <alignment horizontal="left" vertical="top" wrapText="1"/>
    </xf>
    <xf numFmtId="0" fontId="4" fillId="0" borderId="0" xfId="42" applyFont="1" applyAlignment="1">
      <alignment vertical="center"/>
    </xf>
    <xf numFmtId="0" fontId="48" fillId="0" borderId="0" xfId="0" applyFont="1"/>
    <xf numFmtId="0" fontId="47" fillId="0" borderId="0" xfId="0" applyFont="1"/>
    <xf numFmtId="0" fontId="0" fillId="0" borderId="0" xfId="0" applyAlignment="1">
      <alignment wrapText="1"/>
    </xf>
    <xf numFmtId="190" fontId="9" fillId="0" borderId="13" xfId="34" applyNumberFormat="1" applyFont="1" applyBorder="1" applyAlignment="1">
      <alignment horizontal="center" vertical="center"/>
    </xf>
    <xf numFmtId="191" fontId="9" fillId="0" borderId="13" xfId="32" applyNumberFormat="1" applyFont="1" applyBorder="1" applyAlignment="1">
      <alignment horizontal="center" vertical="center"/>
    </xf>
    <xf numFmtId="0" fontId="49" fillId="6" borderId="3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3" fontId="12" fillId="2" borderId="3" xfId="0" applyNumberFormat="1" applyFont="1" applyFill="1" applyBorder="1" applyAlignment="1">
      <alignment horizontal="center" wrapText="1"/>
    </xf>
    <xf numFmtId="0" fontId="21" fillId="0" borderId="0" xfId="41" applyAlignment="1">
      <alignment vertical="center"/>
    </xf>
    <xf numFmtId="0" fontId="0" fillId="0" borderId="0" xfId="0" applyAlignment="1">
      <alignment vertical="center"/>
    </xf>
    <xf numFmtId="0" fontId="48" fillId="0" borderId="0" xfId="41" applyFont="1" applyAlignment="1">
      <alignment vertical="center"/>
    </xf>
    <xf numFmtId="0" fontId="24" fillId="0" borderId="0" xfId="0" applyFont="1" applyAlignment="1">
      <alignment vertical="center"/>
    </xf>
    <xf numFmtId="0" fontId="40" fillId="0" borderId="0" xfId="0" applyFont="1" applyFill="1" applyBorder="1" applyAlignment="1">
      <alignment horizontal="left" vertical="center"/>
    </xf>
    <xf numFmtId="0" fontId="21" fillId="0" borderId="0" xfId="41" applyAlignment="1"/>
    <xf numFmtId="0" fontId="21" fillId="0" borderId="0" xfId="41"/>
    <xf numFmtId="0" fontId="63" fillId="0" borderId="0" xfId="40" applyFont="1" applyAlignment="1">
      <alignment vertical="center"/>
    </xf>
    <xf numFmtId="0" fontId="63" fillId="0" borderId="0" xfId="40" applyFont="1" applyFill="1" applyAlignment="1">
      <alignment vertical="center"/>
    </xf>
    <xf numFmtId="41" fontId="63" fillId="0" borderId="0" xfId="35" applyFont="1" applyAlignment="1">
      <alignment vertical="center"/>
    </xf>
    <xf numFmtId="0" fontId="63" fillId="0" borderId="0" xfId="40" applyFont="1"/>
    <xf numFmtId="0" fontId="64" fillId="0" borderId="0" xfId="40" applyFont="1" applyFill="1" applyAlignment="1">
      <alignment vertical="center"/>
    </xf>
    <xf numFmtId="41" fontId="5" fillId="0" borderId="0" xfId="35" applyFont="1" applyAlignment="1" applyProtection="1">
      <alignment horizontal="center" vertical="center"/>
      <protection hidden="1"/>
    </xf>
    <xf numFmtId="198" fontId="21" fillId="0" borderId="0" xfId="40" applyNumberFormat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40" applyFont="1" applyFill="1" applyBorder="1" applyAlignment="1">
      <alignment horizontal="left" vertical="center"/>
    </xf>
    <xf numFmtId="0" fontId="21" fillId="0" borderId="0" xfId="40" applyAlignment="1">
      <alignment horizontal="left" vertical="center"/>
    </xf>
    <xf numFmtId="41" fontId="21" fillId="0" borderId="0" xfId="40" applyNumberFormat="1" applyAlignment="1">
      <alignment horizontal="left" vertical="center"/>
    </xf>
    <xf numFmtId="0" fontId="41" fillId="0" borderId="3" xfId="40" applyFont="1" applyBorder="1" applyAlignment="1">
      <alignment vertical="center"/>
    </xf>
    <xf numFmtId="178" fontId="21" fillId="0" borderId="3" xfId="40" applyNumberFormat="1" applyBorder="1" applyAlignment="1">
      <alignment horizontal="center" vertical="center"/>
    </xf>
    <xf numFmtId="3" fontId="65" fillId="0" borderId="3" xfId="0" applyNumberFormat="1" applyFont="1" applyBorder="1" applyAlignment="1">
      <alignment horizontal="center" wrapText="1"/>
    </xf>
    <xf numFmtId="41" fontId="7" fillId="0" borderId="3" xfId="35" applyFont="1" applyBorder="1" applyAlignment="1" applyProtection="1">
      <alignment horizontal="center" vertical="center"/>
      <protection hidden="1"/>
    </xf>
    <xf numFmtId="41" fontId="5" fillId="0" borderId="0" xfId="35" applyNumberFormat="1" applyFont="1" applyAlignment="1" applyProtection="1">
      <alignment horizontal="center" vertical="center"/>
      <protection hidden="1"/>
    </xf>
    <xf numFmtId="41" fontId="6" fillId="0" borderId="6" xfId="35" applyNumberFormat="1" applyFont="1" applyBorder="1" applyAlignment="1" applyProtection="1">
      <alignment horizontal="center" vertical="center"/>
      <protection hidden="1"/>
    </xf>
    <xf numFmtId="41" fontId="7" fillId="3" borderId="3" xfId="35" applyNumberFormat="1" applyFont="1" applyFill="1" applyBorder="1" applyAlignment="1" applyProtection="1">
      <alignment horizontal="center" vertical="center"/>
      <protection hidden="1"/>
    </xf>
    <xf numFmtId="41" fontId="9" fillId="0" borderId="11" xfId="35" applyNumberFormat="1" applyFont="1" applyBorder="1" applyAlignment="1" applyProtection="1">
      <alignment horizontal="center" vertical="center"/>
      <protection hidden="1"/>
    </xf>
    <xf numFmtId="41" fontId="9" fillId="0" borderId="8" xfId="35" applyNumberFormat="1" applyFont="1" applyBorder="1" applyAlignment="1" applyProtection="1">
      <alignment horizontal="center" vertical="center"/>
      <protection hidden="1"/>
    </xf>
    <xf numFmtId="41" fontId="12" fillId="0" borderId="8" xfId="35" applyNumberFormat="1" applyFont="1" applyBorder="1" applyAlignment="1" applyProtection="1">
      <alignment horizontal="center" vertical="center"/>
      <protection hidden="1"/>
    </xf>
    <xf numFmtId="41" fontId="15" fillId="0" borderId="10" xfId="35" applyNumberFormat="1" applyFont="1" applyBorder="1" applyAlignment="1" applyProtection="1">
      <alignment horizontal="center" vertical="center"/>
      <protection hidden="1"/>
    </xf>
    <xf numFmtId="41" fontId="12" fillId="0" borderId="10" xfId="35" applyNumberFormat="1" applyFont="1" applyBorder="1" applyAlignment="1" applyProtection="1">
      <alignment horizontal="center" vertical="center"/>
      <protection hidden="1"/>
    </xf>
    <xf numFmtId="41" fontId="12" fillId="0" borderId="11" xfId="35" applyNumberFormat="1" applyFont="1" applyBorder="1" applyAlignment="1" applyProtection="1">
      <alignment horizontal="center" vertical="center"/>
      <protection hidden="1"/>
    </xf>
    <xf numFmtId="41" fontId="15" fillId="0" borderId="9" xfId="35" applyNumberFormat="1" applyFont="1" applyBorder="1" applyAlignment="1" applyProtection="1">
      <alignment horizontal="center" vertical="center"/>
      <protection hidden="1"/>
    </xf>
    <xf numFmtId="41" fontId="9" fillId="0" borderId="3" xfId="35" applyNumberFormat="1" applyFont="1" applyBorder="1" applyAlignment="1" applyProtection="1">
      <alignment horizontal="left" vertical="center"/>
      <protection hidden="1"/>
    </xf>
    <xf numFmtId="41" fontId="12" fillId="0" borderId="3" xfId="35" applyNumberFormat="1" applyFont="1" applyBorder="1" applyAlignment="1" applyProtection="1">
      <alignment horizontal="left" vertical="center"/>
      <protection hidden="1"/>
    </xf>
    <xf numFmtId="41" fontId="15" fillId="0" borderId="3" xfId="35" applyNumberFormat="1" applyFont="1" applyBorder="1" applyAlignment="1" applyProtection="1">
      <alignment horizontal="center" vertical="center"/>
      <protection hidden="1"/>
    </xf>
    <xf numFmtId="41" fontId="7" fillId="0" borderId="0" xfId="35" applyNumberFormat="1" applyFont="1" applyAlignment="1" applyProtection="1">
      <alignment horizontal="center" vertical="center"/>
      <protection hidden="1"/>
    </xf>
    <xf numFmtId="41" fontId="12" fillId="0" borderId="3" xfId="35" applyNumberFormat="1" applyFont="1" applyBorder="1" applyAlignment="1" applyProtection="1">
      <alignment horizontal="center" vertical="center"/>
      <protection hidden="1"/>
    </xf>
    <xf numFmtId="41" fontId="7" fillId="0" borderId="6" xfId="35" applyNumberFormat="1" applyFont="1" applyBorder="1" applyAlignment="1" applyProtection="1">
      <alignment horizontal="right"/>
      <protection hidden="1"/>
    </xf>
    <xf numFmtId="41" fontId="12" fillId="0" borderId="51" xfId="35" applyNumberFormat="1" applyFont="1" applyBorder="1" applyAlignment="1" applyProtection="1">
      <alignment horizontal="center" vertical="center"/>
      <protection hidden="1"/>
    </xf>
    <xf numFmtId="41" fontId="12" fillId="0" borderId="51" xfId="35" applyNumberFormat="1" applyFont="1" applyBorder="1" applyAlignment="1" applyProtection="1">
      <alignment horizontal="left" vertical="center"/>
      <protection hidden="1"/>
    </xf>
    <xf numFmtId="41" fontId="16" fillId="0" borderId="3" xfId="35" applyNumberFormat="1" applyFont="1" applyBorder="1" applyAlignment="1" applyProtection="1">
      <alignment horizontal="left" vertical="center"/>
      <protection hidden="1"/>
    </xf>
    <xf numFmtId="9" fontId="7" fillId="0" borderId="3" xfId="32" applyNumberFormat="1" applyFont="1" applyBorder="1" applyAlignment="1" applyProtection="1">
      <alignment horizontal="right" vertical="center"/>
      <protection hidden="1"/>
    </xf>
    <xf numFmtId="184" fontId="7" fillId="0" borderId="0" xfId="32" applyNumberFormat="1" applyFont="1" applyAlignment="1" applyProtection="1">
      <alignment horizontal="center" vertical="center"/>
      <protection hidden="1"/>
    </xf>
    <xf numFmtId="41" fontId="6" fillId="0" borderId="6" xfId="35" applyFont="1" applyBorder="1" applyAlignment="1" applyProtection="1">
      <alignment horizontal="center" vertical="center"/>
      <protection hidden="1"/>
    </xf>
    <xf numFmtId="41" fontId="7" fillId="3" borderId="3" xfId="35" applyFont="1" applyFill="1" applyBorder="1" applyAlignment="1" applyProtection="1">
      <alignment horizontal="center" vertical="center"/>
      <protection hidden="1"/>
    </xf>
    <xf numFmtId="176" fontId="7" fillId="0" borderId="0" xfId="35" applyNumberFormat="1" applyFont="1" applyAlignment="1" applyProtection="1">
      <alignment horizontal="center" vertical="center"/>
      <protection hidden="1"/>
    </xf>
    <xf numFmtId="0" fontId="7" fillId="7" borderId="0" xfId="0" applyFont="1" applyFill="1" applyAlignment="1" applyProtection="1">
      <alignment horizontal="center" vertical="center"/>
      <protection hidden="1"/>
    </xf>
    <xf numFmtId="41" fontId="7" fillId="8" borderId="3" xfId="35" applyFont="1" applyFill="1" applyBorder="1" applyAlignment="1" applyProtection="1">
      <alignment horizontal="center" vertical="center"/>
      <protection hidden="1"/>
    </xf>
    <xf numFmtId="10" fontId="7" fillId="8" borderId="3" xfId="32" applyNumberFormat="1" applyFont="1" applyFill="1" applyBorder="1" applyAlignment="1" applyProtection="1">
      <alignment horizontal="right" vertical="center"/>
      <protection hidden="1"/>
    </xf>
    <xf numFmtId="41" fontId="7" fillId="8" borderId="3" xfId="35" applyNumberFormat="1" applyFont="1" applyFill="1" applyBorder="1" applyAlignment="1" applyProtection="1">
      <alignment horizontal="center" vertical="center"/>
      <protection hidden="1"/>
    </xf>
    <xf numFmtId="0" fontId="21" fillId="0" borderId="3" xfId="40" applyBorder="1" applyAlignment="1">
      <alignment horizontal="center" vertical="center"/>
    </xf>
    <xf numFmtId="189" fontId="21" fillId="0" borderId="17" xfId="35" applyNumberFormat="1" applyFont="1" applyBorder="1" applyAlignment="1">
      <alignment horizontal="right" vertical="center"/>
    </xf>
    <xf numFmtId="189" fontId="21" fillId="0" borderId="7" xfId="35" applyNumberFormat="1" applyFont="1" applyBorder="1" applyAlignment="1">
      <alignment horizontal="right" vertical="center"/>
    </xf>
    <xf numFmtId="0" fontId="23" fillId="0" borderId="0" xfId="40" applyFont="1" applyAlignment="1">
      <alignment horizontal="center" vertical="center"/>
    </xf>
    <xf numFmtId="0" fontId="25" fillId="0" borderId="0" xfId="40" applyFont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8" borderId="3" xfId="0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7" fillId="3" borderId="3" xfId="0" applyFont="1" applyFill="1" applyBorder="1" applyAlignment="1" applyProtection="1">
      <alignment horizontal="center" vertical="center"/>
      <protection hidden="1"/>
    </xf>
    <xf numFmtId="0" fontId="14" fillId="0" borderId="20" xfId="0" applyFont="1" applyBorder="1" applyAlignment="1" applyProtection="1">
      <alignment horizontal="left" vertical="center"/>
      <protection hidden="1"/>
    </xf>
    <xf numFmtId="0" fontId="7" fillId="0" borderId="33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7" fillId="0" borderId="29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14" fillId="0" borderId="50" xfId="0" applyFont="1" applyBorder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4" fillId="0" borderId="31" xfId="0" applyFont="1" applyBorder="1" applyAlignment="1" applyProtection="1">
      <alignment horizontal="center" vertical="center"/>
      <protection hidden="1"/>
    </xf>
    <xf numFmtId="0" fontId="7" fillId="0" borderId="12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0" xfId="0" applyFont="1" applyBorder="1" applyAlignment="1" applyProtection="1">
      <alignment horizontal="center" vertical="center"/>
      <protection hidden="1"/>
    </xf>
    <xf numFmtId="0" fontId="5" fillId="0" borderId="33" xfId="0" applyFont="1" applyBorder="1" applyAlignment="1" applyProtection="1">
      <alignment horizontal="center" vertical="center"/>
      <protection hidden="1"/>
    </xf>
    <xf numFmtId="0" fontId="5" fillId="0" borderId="29" xfId="0" applyFont="1" applyBorder="1" applyAlignment="1" applyProtection="1">
      <alignment horizontal="center" vertical="center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50" xfId="0" applyFont="1" applyBorder="1" applyAlignment="1" applyProtection="1">
      <alignment horizontal="center" vertical="center"/>
      <protection hidden="1"/>
    </xf>
    <xf numFmtId="0" fontId="5" fillId="0" borderId="31" xfId="0" applyFont="1" applyBorder="1" applyAlignment="1" applyProtection="1">
      <alignment horizontal="center" vertical="center"/>
      <protection hidden="1"/>
    </xf>
    <xf numFmtId="0" fontId="20" fillId="0" borderId="0" xfId="43" applyNumberFormat="1" applyFont="1" applyAlignment="1" applyProtection="1">
      <alignment horizontal="center" vertical="center"/>
      <protection locked="0"/>
    </xf>
    <xf numFmtId="10" fontId="33" fillId="0" borderId="0" xfId="32" applyNumberFormat="1" applyFont="1" applyAlignment="1" applyProtection="1">
      <alignment horizontal="center" vertical="center"/>
      <protection locked="0"/>
    </xf>
    <xf numFmtId="0" fontId="33" fillId="0" borderId="0" xfId="43" quotePrefix="1" applyNumberFormat="1" applyFont="1" applyAlignment="1" applyProtection="1">
      <alignment horizontal="left" vertical="center"/>
      <protection locked="0"/>
    </xf>
    <xf numFmtId="193" fontId="28" fillId="0" borderId="0" xfId="38" applyNumberFormat="1" applyFont="1" applyAlignment="1">
      <alignment horizontal="center" vertical="center" shrinkToFit="1"/>
    </xf>
    <xf numFmtId="41" fontId="30" fillId="0" borderId="0" xfId="43" applyNumberFormat="1" applyFont="1" applyAlignment="1">
      <alignment horizontal="center" vertical="center"/>
    </xf>
    <xf numFmtId="192" fontId="30" fillId="0" borderId="0" xfId="43" applyNumberFormat="1" applyFont="1" applyAlignment="1" applyProtection="1">
      <alignment horizontal="center" vertical="center"/>
      <protection locked="0"/>
    </xf>
    <xf numFmtId="10" fontId="33" fillId="0" borderId="0" xfId="32" applyNumberFormat="1" applyFont="1" applyAlignment="1" applyProtection="1">
      <alignment horizontal="center" vertical="center" shrinkToFit="1"/>
      <protection locked="0"/>
    </xf>
    <xf numFmtId="195" fontId="33" fillId="0" borderId="0" xfId="43" applyNumberFormat="1" applyFont="1" applyAlignment="1" applyProtection="1">
      <alignment horizontal="center" vertical="center"/>
      <protection locked="0"/>
    </xf>
    <xf numFmtId="0" fontId="42" fillId="0" borderId="17" xfId="0" applyFont="1" applyBorder="1" applyAlignment="1">
      <alignment horizontal="center" wrapText="1"/>
    </xf>
    <xf numFmtId="0" fontId="42" fillId="0" borderId="2" xfId="0" applyFont="1" applyBorder="1" applyAlignment="1">
      <alignment horizontal="center" wrapText="1"/>
    </xf>
    <xf numFmtId="0" fontId="42" fillId="0" borderId="7" xfId="0" applyFont="1" applyBorder="1" applyAlignment="1">
      <alignment horizontal="center" wrapText="1"/>
    </xf>
    <xf numFmtId="10" fontId="28" fillId="0" borderId="0" xfId="32" applyNumberFormat="1" applyFont="1" applyAlignment="1">
      <alignment horizontal="center" vertical="center"/>
    </xf>
    <xf numFmtId="0" fontId="33" fillId="0" borderId="19" xfId="43" applyNumberFormat="1" applyFont="1" applyBorder="1" applyAlignment="1" applyProtection="1">
      <alignment horizontal="right" vertical="center"/>
      <protection locked="0"/>
    </xf>
    <xf numFmtId="10" fontId="30" fillId="0" borderId="0" xfId="32" applyNumberFormat="1" applyFont="1" applyAlignment="1">
      <alignment horizontal="center" vertical="center"/>
    </xf>
    <xf numFmtId="183" fontId="30" fillId="0" borderId="0" xfId="43" applyNumberFormat="1" applyFont="1" applyAlignment="1">
      <alignment horizontal="center" vertical="center" shrinkToFit="1"/>
    </xf>
    <xf numFmtId="41" fontId="30" fillId="0" borderId="0" xfId="35" applyFont="1" applyAlignment="1" applyProtection="1">
      <alignment horizontal="center" vertical="center" shrinkToFit="1"/>
      <protection locked="0"/>
    </xf>
    <xf numFmtId="187" fontId="30" fillId="0" borderId="0" xfId="43" applyNumberFormat="1" applyFont="1" applyAlignment="1" applyProtection="1">
      <alignment horizontal="center" vertical="center"/>
      <protection locked="0"/>
    </xf>
    <xf numFmtId="0" fontId="7" fillId="0" borderId="0" xfId="43" applyFont="1" applyAlignment="1">
      <alignment horizontal="left" vertical="top" wrapText="1"/>
    </xf>
    <xf numFmtId="0" fontId="29" fillId="0" borderId="0" xfId="43" applyFont="1" applyFill="1" applyBorder="1" applyAlignment="1">
      <alignment horizontal="center" vertical="center" wrapText="1"/>
    </xf>
    <xf numFmtId="0" fontId="32" fillId="0" borderId="0" xfId="43" applyNumberFormat="1" applyFont="1" applyAlignment="1" applyProtection="1">
      <alignment horizontal="center" vertical="center"/>
      <protection locked="0"/>
    </xf>
    <xf numFmtId="0" fontId="32" fillId="0" borderId="0" xfId="43" quotePrefix="1" applyNumberFormat="1" applyFont="1" applyAlignment="1" applyProtection="1">
      <alignment horizontal="center" vertical="center"/>
      <protection locked="0"/>
    </xf>
    <xf numFmtId="0" fontId="30" fillId="0" borderId="0" xfId="43" applyNumberFormat="1" applyFont="1" applyAlignment="1" applyProtection="1">
      <alignment horizontal="center" vertical="center"/>
      <protection locked="0"/>
    </xf>
    <xf numFmtId="0" fontId="30" fillId="0" borderId="0" xfId="43" quotePrefix="1" applyNumberFormat="1" applyFont="1" applyAlignment="1" applyProtection="1">
      <alignment horizontal="right" vertical="center"/>
      <protection locked="0"/>
    </xf>
    <xf numFmtId="197" fontId="30" fillId="0" borderId="0" xfId="38" applyNumberFormat="1" applyFont="1" applyAlignment="1">
      <alignment horizontal="center" vertical="center" shrinkToFit="1"/>
    </xf>
    <xf numFmtId="10" fontId="31" fillId="0" borderId="0" xfId="32" applyNumberFormat="1" applyFont="1" applyAlignment="1" applyProtection="1">
      <alignment horizontal="center" vertical="center"/>
      <protection locked="0"/>
    </xf>
    <xf numFmtId="0" fontId="30" fillId="0" borderId="52" xfId="43" applyNumberFormat="1" applyFont="1" applyBorder="1" applyAlignment="1" applyProtection="1">
      <alignment horizontal="center" vertical="center" shrinkToFit="1"/>
      <protection locked="0"/>
    </xf>
    <xf numFmtId="0" fontId="30" fillId="0" borderId="19" xfId="43" applyNumberFormat="1" applyFont="1" applyBorder="1" applyAlignment="1" applyProtection="1">
      <alignment horizontal="center" vertical="center" shrinkToFit="1"/>
      <protection locked="0"/>
    </xf>
    <xf numFmtId="0" fontId="7" fillId="0" borderId="40" xfId="42" applyFont="1" applyBorder="1" applyAlignment="1">
      <alignment horizontal="center" vertical="center"/>
    </xf>
    <xf numFmtId="0" fontId="5" fillId="5" borderId="64" xfId="42" applyFont="1" applyFill="1" applyBorder="1" applyAlignment="1">
      <alignment horizontal="center" vertical="center"/>
    </xf>
    <xf numFmtId="183" fontId="7" fillId="0" borderId="0" xfId="34" applyNumberFormat="1" applyFont="1" applyBorder="1" applyAlignment="1">
      <alignment horizontal="center" vertical="center"/>
    </xf>
    <xf numFmtId="0" fontId="5" fillId="5" borderId="65" xfId="42" applyFont="1" applyFill="1" applyBorder="1" applyAlignment="1">
      <alignment horizontal="center" vertical="center"/>
    </xf>
    <xf numFmtId="0" fontId="5" fillId="5" borderId="66" xfId="42" applyFont="1" applyFill="1" applyBorder="1" applyAlignment="1">
      <alignment horizontal="center" vertical="center"/>
    </xf>
    <xf numFmtId="0" fontId="7" fillId="0" borderId="50" xfId="42" applyFont="1" applyBorder="1" applyAlignment="1">
      <alignment horizontal="left" vertical="top" wrapText="1"/>
    </xf>
    <xf numFmtId="0" fontId="7" fillId="0" borderId="6" xfId="42" applyFont="1" applyBorder="1" applyAlignment="1">
      <alignment horizontal="left" vertical="top" wrapText="1"/>
    </xf>
    <xf numFmtId="0" fontId="5" fillId="0" borderId="42" xfId="42" applyFont="1" applyBorder="1" applyAlignment="1">
      <alignment horizontal="center" vertical="center"/>
    </xf>
    <xf numFmtId="0" fontId="5" fillId="0" borderId="29" xfId="42" applyFont="1" applyBorder="1" applyAlignment="1">
      <alignment horizontal="center" vertical="center"/>
    </xf>
    <xf numFmtId="0" fontId="5" fillId="0" borderId="38" xfId="42" applyFont="1" applyBorder="1" applyAlignment="1">
      <alignment horizontal="center" vertical="center"/>
    </xf>
    <xf numFmtId="0" fontId="5" fillId="0" borderId="22" xfId="42" applyFont="1" applyBorder="1" applyAlignment="1">
      <alignment horizontal="center" vertical="center"/>
    </xf>
    <xf numFmtId="0" fontId="5" fillId="0" borderId="43" xfId="42" applyFont="1" applyBorder="1" applyAlignment="1">
      <alignment horizontal="center" vertical="center"/>
    </xf>
    <xf numFmtId="0" fontId="5" fillId="0" borderId="31" xfId="42" applyFont="1" applyBorder="1" applyAlignment="1">
      <alignment horizontal="center" vertical="center"/>
    </xf>
    <xf numFmtId="0" fontId="49" fillId="2" borderId="3" xfId="0" applyFont="1" applyFill="1" applyBorder="1" applyAlignment="1">
      <alignment horizontal="center" wrapText="1"/>
    </xf>
    <xf numFmtId="10" fontId="39" fillId="5" borderId="47" xfId="32" applyNumberFormat="1" applyFont="1" applyFill="1" applyBorder="1" applyAlignment="1">
      <alignment horizontal="center" vertical="center"/>
    </xf>
    <xf numFmtId="10" fontId="39" fillId="5" borderId="67" xfId="32" applyNumberFormat="1" applyFont="1" applyFill="1" applyBorder="1" applyAlignment="1">
      <alignment horizontal="center" vertical="center"/>
    </xf>
    <xf numFmtId="183" fontId="7" fillId="0" borderId="18" xfId="34" applyNumberFormat="1" applyFont="1" applyBorder="1" applyAlignment="1">
      <alignment horizontal="center" vertical="center"/>
    </xf>
    <xf numFmtId="0" fontId="7" fillId="0" borderId="57" xfId="42" applyFont="1" applyBorder="1" applyAlignment="1">
      <alignment horizontal="center" vertical="center"/>
    </xf>
    <xf numFmtId="0" fontId="7" fillId="0" borderId="58" xfId="42" applyFont="1" applyBorder="1" applyAlignment="1">
      <alignment horizontal="center" vertical="center"/>
    </xf>
    <xf numFmtId="0" fontId="37" fillId="0" borderId="0" xfId="42" applyFont="1" applyAlignment="1">
      <alignment horizontal="center" vertical="center"/>
    </xf>
    <xf numFmtId="183" fontId="7" fillId="0" borderId="6" xfId="34" applyNumberFormat="1" applyFont="1" applyBorder="1" applyAlignment="1">
      <alignment horizontal="center" vertical="center"/>
    </xf>
    <xf numFmtId="0" fontId="18" fillId="2" borderId="54" xfId="42" applyFont="1" applyFill="1" applyBorder="1" applyAlignment="1">
      <alignment horizontal="center" vertical="center" shrinkToFit="1"/>
    </xf>
    <xf numFmtId="0" fontId="18" fillId="2" borderId="55" xfId="42" applyFont="1" applyFill="1" applyBorder="1" applyAlignment="1">
      <alignment horizontal="center" vertical="center" shrinkToFit="1"/>
    </xf>
    <xf numFmtId="0" fontId="18" fillId="2" borderId="1" xfId="42" applyFont="1" applyFill="1" applyBorder="1" applyAlignment="1">
      <alignment horizontal="left" vertical="center" shrinkToFit="1"/>
    </xf>
    <xf numFmtId="0" fontId="18" fillId="2" borderId="56" xfId="42" applyFont="1" applyFill="1" applyBorder="1" applyAlignment="1">
      <alignment horizontal="left" vertical="center" shrinkToFit="1"/>
    </xf>
    <xf numFmtId="180" fontId="21" fillId="0" borderId="6" xfId="40" applyNumberFormat="1" applyBorder="1" applyAlignment="1">
      <alignment vertical="center"/>
    </xf>
    <xf numFmtId="0" fontId="5" fillId="0" borderId="59" xfId="42" applyFont="1" applyBorder="1" applyAlignment="1">
      <alignment horizontal="center" vertical="center"/>
    </xf>
    <xf numFmtId="0" fontId="5" fillId="0" borderId="60" xfId="42" applyFont="1" applyBorder="1" applyAlignment="1">
      <alignment horizontal="center" vertical="center"/>
    </xf>
    <xf numFmtId="0" fontId="45" fillId="0" borderId="61" xfId="42" applyFont="1" applyBorder="1" applyAlignment="1">
      <alignment horizontal="left" vertical="center" wrapText="1"/>
    </xf>
    <xf numFmtId="0" fontId="45" fillId="0" borderId="62" xfId="42" applyFont="1" applyBorder="1" applyAlignment="1">
      <alignment horizontal="left" vertical="center" wrapText="1"/>
    </xf>
    <xf numFmtId="0" fontId="45" fillId="0" borderId="63" xfId="42" applyFont="1" applyBorder="1" applyAlignment="1">
      <alignment horizontal="left" vertical="center" wrapText="1"/>
    </xf>
    <xf numFmtId="0" fontId="7" fillId="0" borderId="53" xfId="42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117">
    <cellStyle name="??&amp;O?&amp;H?_x0008__x000f__x0007_?_x0007__x0001__x0001_" xfId="1"/>
    <cellStyle name="??&amp;O?&amp;H?_x0008_??_x0007__x0001__x0001_" xfId="2"/>
    <cellStyle name="Calc Currency (0)" xfId="3"/>
    <cellStyle name="category" xfId="4"/>
    <cellStyle name="Comma [0]_ SG&amp;A Bridge " xfId="5"/>
    <cellStyle name="comma zerodec" xfId="6"/>
    <cellStyle name="Comma_ SG&amp;A Bridge " xfId="7"/>
    <cellStyle name="Copied" xfId="8"/>
    <cellStyle name="Currency [0]_ SG&amp;A Bridge " xfId="9"/>
    <cellStyle name="Currency_ SG&amp;A Bridge " xfId="10"/>
    <cellStyle name="Currency1" xfId="11"/>
    <cellStyle name="Dollar (zero dec)" xfId="12"/>
    <cellStyle name="Entered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RevList" xfId="23"/>
    <cellStyle name="subhead" xfId="24"/>
    <cellStyle name="Subtotal" xfId="25"/>
    <cellStyle name="기본숫자" xfId="26"/>
    <cellStyle name="뒤에 오는 하이퍼링크_대치오피스텔(가실행3차-철콘변경,습식-최대연)" xfId="27"/>
    <cellStyle name="똿뗦먛귟 [0.00]_PRODUCT DETAIL Q1" xfId="28"/>
    <cellStyle name="똿뗦먛귟_PRODUCT DETAIL Q1" xfId="29"/>
    <cellStyle name="믅됞 [0.00]_PRODUCT DETAIL Q1" xfId="30"/>
    <cellStyle name="믅됞_PRODUCT DETAIL Q1" xfId="31"/>
    <cellStyle name="백분율" xfId="32" builtinId="5"/>
    <cellStyle name="백분율 2" xfId="46"/>
    <cellStyle name="뷭?_BOOKSHIP" xfId="33"/>
    <cellStyle name="쉼표" xfId="34" builtinId="3"/>
    <cellStyle name="쉼표 [0]" xfId="35" builtinId="6"/>
    <cellStyle name="쉼표 [0] 10" xfId="47"/>
    <cellStyle name="쉼표 [0] 2" xfId="48"/>
    <cellStyle name="쉼표 [0] 3" xfId="45"/>
    <cellStyle name="쉼표 10" xfId="49"/>
    <cellStyle name="쉼표 11" xfId="50"/>
    <cellStyle name="쉼표 12" xfId="51"/>
    <cellStyle name="쉼표 13" xfId="52"/>
    <cellStyle name="쉼표 14" xfId="53"/>
    <cellStyle name="쉼표 15" xfId="54"/>
    <cellStyle name="쉼표 16" xfId="55"/>
    <cellStyle name="쉼표 17" xfId="56"/>
    <cellStyle name="쉼표 18" xfId="57"/>
    <cellStyle name="쉼표 19" xfId="58"/>
    <cellStyle name="쉼표 2" xfId="59"/>
    <cellStyle name="쉼표 20" xfId="60"/>
    <cellStyle name="쉼표 21" xfId="61"/>
    <cellStyle name="쉼표 22" xfId="62"/>
    <cellStyle name="쉼표 23" xfId="63"/>
    <cellStyle name="쉼표 24" xfId="64"/>
    <cellStyle name="쉼표 25" xfId="65"/>
    <cellStyle name="쉼표 26" xfId="66"/>
    <cellStyle name="쉼표 27" xfId="67"/>
    <cellStyle name="쉼표 28" xfId="68"/>
    <cellStyle name="쉼표 29" xfId="69"/>
    <cellStyle name="쉼표 3" xfId="70"/>
    <cellStyle name="쉼표 30" xfId="71"/>
    <cellStyle name="쉼표 31" xfId="72"/>
    <cellStyle name="쉼표 32" xfId="73"/>
    <cellStyle name="쉼표 33" xfId="74"/>
    <cellStyle name="쉼표 34" xfId="75"/>
    <cellStyle name="쉼표 35" xfId="76"/>
    <cellStyle name="쉼표 4" xfId="77"/>
    <cellStyle name="쉼표 5" xfId="78"/>
    <cellStyle name="쉼표 6" xfId="79"/>
    <cellStyle name="쉼표 7" xfId="80"/>
    <cellStyle name="쉼표 8" xfId="81"/>
    <cellStyle name="쉼표 9" xfId="82"/>
    <cellStyle name="콤마 [0]_ 전기" xfId="36"/>
    <cellStyle name="콤마_ 전기" xfId="37"/>
    <cellStyle name="통화 [0]" xfId="38" builtinId="7"/>
    <cellStyle name="통화 [0] 2" xfId="83"/>
    <cellStyle name="표준" xfId="0" builtinId="0"/>
    <cellStyle name="표준 10" xfId="84"/>
    <cellStyle name="표준 11" xfId="85"/>
    <cellStyle name="표준 12" xfId="86"/>
    <cellStyle name="표준 13" xfId="87"/>
    <cellStyle name="표준 14" xfId="88"/>
    <cellStyle name="표준 15" xfId="89"/>
    <cellStyle name="표준 16" xfId="90"/>
    <cellStyle name="표준 17" xfId="91"/>
    <cellStyle name="표준 18" xfId="92"/>
    <cellStyle name="표준 19" xfId="93"/>
    <cellStyle name="표준 2" xfId="94"/>
    <cellStyle name="표준 20" xfId="95"/>
    <cellStyle name="표준 21" xfId="96"/>
    <cellStyle name="표준 22" xfId="97"/>
    <cellStyle name="표준 23" xfId="98"/>
    <cellStyle name="표준 24" xfId="99"/>
    <cellStyle name="표준 25" xfId="100"/>
    <cellStyle name="표준 26" xfId="101"/>
    <cellStyle name="표준 27" xfId="102"/>
    <cellStyle name="표준 28" xfId="103"/>
    <cellStyle name="표준 29" xfId="104"/>
    <cellStyle name="표준 3" xfId="44"/>
    <cellStyle name="표준 30" xfId="105"/>
    <cellStyle name="표준 31" xfId="106"/>
    <cellStyle name="표준 32" xfId="107"/>
    <cellStyle name="표준 33" xfId="108"/>
    <cellStyle name="표준 34" xfId="109"/>
    <cellStyle name="표준 35" xfId="110"/>
    <cellStyle name="표준 4" xfId="111"/>
    <cellStyle name="표준 5" xfId="112"/>
    <cellStyle name="표준 6" xfId="113"/>
    <cellStyle name="표준 7" xfId="114"/>
    <cellStyle name="표준 8" xfId="115"/>
    <cellStyle name="표준 9" xfId="116"/>
    <cellStyle name="標準_Akia(F）-8" xfId="39"/>
    <cellStyle name="표준_감리자지정신청(진천주거복합)" xfId="40"/>
    <cellStyle name="표준_감리자지정신청시 참고 서식" xfId="41"/>
    <cellStyle name="표준_쌍용감리(전기,통신,소방)산출내역서" xfId="42"/>
    <cellStyle name="표준_통신감리산출내역서" xfId="4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51204;&#52404;-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077;&#52272;/MODULE/&#49688;&#50896;2&#52264;b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7928;&#49436;&#54632;/&#51088;&#47308;&#49892;/&#49892;&#54665;&#50696;&#49328;/&#52285;&#46041;/&#52285;&#46041;&#49892;&#54665;/ZLHK/DATA/&#47925;&#54788;&#4753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64;&#51312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\MY%20DOCUMENTS\EXCDATA\cash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0857;&#51064;&#49436;&#52380;/&#54868;&#49457;&#49437;&#50864;&#47532;&#49324;&#50629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88;&#51652;\C\My%20Documents\&#51088;&#47308;\&#54868;&#44257;&#46041;&#48373;&#51648;\&#46041;&#50864;&#50500;&#493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1.%20&#47785;&#54252;%20&#50725;&#50516;&#51648;&#44396;%20&#44277;&#46041;%201,2&#48660;&#47085;%20&#48512;&#50689;&#50500;&#54028;&#53944;%20(&#51204;&#44592;.&#53685;&#49888;.&#49548;&#48169;)05.03.21%20-%20&#49888;&#48277;&#51201;&#50857;/&#44204;&#51201;&#49436;(&#49345;&#51452;.&#48708;&#49345;&#51452;)/&#44204;&#51201;&#49436;(&#49892;&#48708;&#51221;&#50529;&#44032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3440;&#52280;&#44256;&#49324;&#54637;\&#49548;&#48169;&#44048;&#47532;&#45824;&#44032;%20&#44228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ngwoo\Public\(&#51452;)&#46041;&#50864;E&amp;C%20&#51204;&#44592;&#44048;&#47532;&#48512;\&#44204;%20%20&#51201;%20%20&#49436;%20(&#23609;)\99-25-01.%20&#51204;&#44592;&#44048;&#47532;&#48708;(&#50577;&#49885;)%20&#51228;2005-7&#54840;%20&#51201;&#50857;(&#51204;&#44592;.&#53685;&#49888;.&#49548;&#48169;)%2005.04.01\&#51649;&#51217;&#44221;&#48708;(&#52264;&#47049;&#48708;.&#49324;&#47924;&#50896;&#44553;&#47308;.&#46020;&#49436;&#51064;&#49604;&#48708;%20&#54252;&#54632;)\&#44204;&#51201;&#49436;\&#49548;&#48169;&#44048;&#47532;&#45824;&#44032;%20&#44228;&#493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52;%20&#54260;&#45908;%20(3)/&#44048;&#47532;&#44288;&#47144;(&#49884;&#52397;&#50577;&#49885;&#54801;&#51032;)/&#44148;&#52629;/&#44592;&#53440;&#52280;&#44256;&#49324;&#54637;/&#49548;&#48169;&#44048;&#47532;&#45824;&#44032;%20&#44228;&#4932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51228;&#51452;&#50672;&#46041;&#51452;&#53469;%20&#49324;&#50629;&#49457;%20&#48516;&#49437;&#50577;&#49885;(&#44592;&#54925;&#49892;%20&#49888;&#46041;&#51652;%20&#44284;&#51109;&#45784;%20&#51089;&#54408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&#49324;&#50629;&#44160;&#53664;/&#45824;&#51204;%20&#46041;&#44396;%20&#50857;&#50868;&#46041;/&#49324;&#50629;&#49457;&#44160;&#53664;/&#45824;&#51204;%20&#50857;&#50868;&#51648;&#44396;%20&#50500;&#54028;&#53944;&#49324;&#50629;4(&#48516;&#50577;&#44032;&#52572;&#5133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50110)/&#48512;&#49328;&#48152;&#50668;&#46041;050516(&#46020;&#44553;)21-5&#50900;&#48516;&#505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2;&#49328;&#51221;&#44288;/7&#48660;&#47085;&#44048;&#47532;&#51217;&#49688;&#44288;&#47144;/&#48512;&#49328;&#44305;&#50669;&#49884;06-89/&#48512;&#49328;%20&#54644;&#50868;&#45824;&#44396;%20&#48152;&#50668;&#46041;%20&#45824;&#50864;&#44277;&#51109;%20&#48512;&#51648;/&#49324;&#50629;&#49457;&#44160;&#53664;/&#49324;&#50629;&#49457;&#44160;&#53664;(040825)/My%20Documents/&#47785;&#46041;&#50500;&#54028;&#53944;(&#53580;&#48148;)/&#47785;&#46041;&#50500;&#54028;&#53944;(&#53580;&#48148;)/&#47785;&#46041;&#50500;&#54028;&#53944;(&#53580;&#48148;)/My%20Documents/&#54840;&#54217;5&#49888;&#48393;4/&#54840;&#54217;5(991108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51088;&#52404;&#49324;&#50629;&#48516;&#50577;&#54788;&#54889;/&#51088;&#44552;&#49688;&#51648;/&#51228;&#51452;&#46020;%20&#50672;&#46041;&#51648;&#44396;(85M&#178;&#52488;&#44284;)%202-1%20(%205&#50900;&#48516;&#50577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(&#51452;)&#46041;&#50864;E&amp;C%20&#51204;&#44592;&#44048;&#47532;&#48512;\&#44204;%20%20&#51201;%20%20&#49436;%20(&#23609;)\99-25-01-2.%20(&#51452;)&#49752;&#46972;&#51064;(&#51204;&#44592;.&#53685;&#49888;.&#49548;&#48169;)05.03.22%20-%20&#49888;&#48277;&#51201;&#50857;\&#44204;&#51201;&#49436;\&#44204;&#51201;&#49436;(&#51221;&#50529;&#51201;&#49328;&#48169;&#49885;)-&#49328;&#51088;&#48512;&#44256;&#49884;%20&#51228;2005-7&#54840;%2005.04.01.&#49884;&#54665;\&#49548;&#48169;&#44048;&#47532;&#45824;&#44032;%20&#44228;&#4932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(&#51452;)&#46041;&#50864;E&amp;C%20&#51204;&#44592;&#44048;&#47532;&#48512;/&#44204;%20%20&#51201;%20%20&#49436;%20(&#23609;)/99-25-01-2.%20(&#51452;)&#49752;&#46972;&#51064;(&#51204;&#44592;.&#53685;&#49888;.&#49548;&#48169;)05.03.22%20-%20&#49888;&#48277;&#51201;&#50857;/&#44204;&#51201;&#49436;/&#44204;&#51201;&#49436;(&#51221;&#50529;&#51201;&#49328;&#48169;&#49885;)-&#49328;&#51088;&#48512;&#44256;&#49884;%20&#51228;2005-7&#54840;%2005.04.01.&#49884;&#54665;/&#49548;&#48169;&#44048;&#47532;&#45824;&#44032;%20&#44228;&#493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XLS/&#51077;&#52272;/&#49888;&#53804;&#48512;&#4582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9892;&#54665;&#45824;&#4870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LHKDATA/DATA/XLS/&#51452;&#51088;&#47308;&#49892;/&#44277;&#51333;&#45824;&#48708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전체-REC"/>
    </sheetNames>
    <definedNames>
      <definedName name="[행열변환_1].행열변환_1"/>
      <definedName name="[행열변환_2].행열변환_2"/>
      <definedName name="[행열변환_3].행열변환_3"/>
      <definedName name="[행열변환_4].행열변환_4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수원2차bm"/>
    </sheetNames>
    <definedNames>
      <definedName name="CODESUM3"/>
      <definedName name="SUM_A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묵현리"/>
    </sheetNames>
    <definedNames>
      <definedName name="Macro1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골조대비(고층) (2)"/>
      <sheetName val="골조대비(고층)"/>
      <sheetName val="행열-골조대비(공사명)"/>
      <sheetName val="행열-골조대비(착공순)"/>
      <sheetName val="골조대비(주상복합)"/>
      <sheetName val="현장인원투입"/>
      <sheetName val="현장리스트"/>
      <sheetName val="행열-인원대비(공사명)"/>
      <sheetName val="행열-인원대비(착공순)"/>
      <sheetName val="Sheet1"/>
      <sheetName val="골조대비(저층)"/>
      <sheetName val="현장별실행예산대비"/>
      <sheetName val="행열변환_1"/>
      <sheetName val="행열변환_2"/>
      <sheetName val="LIST_1"/>
      <sheetName val="행열코드"/>
      <sheetName val="골조자료"/>
    </sheetNames>
    <definedNames>
      <definedName name="MACRO3"/>
      <definedName name="행열변환_1.행열변환_1"/>
      <definedName name="행열변환_2.행열변환_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1"/>
      <sheetName val="Sheet1 (2)"/>
      <sheetName val="Sheet1 (3)"/>
      <sheetName val="의정부돈"/>
      <sheetName val="잠실CASH"/>
      <sheetName val="사업개요"/>
      <sheetName val="Sheet3"/>
      <sheetName val="Sheet4"/>
      <sheetName val="Sheet5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사업성분석"/>
      <sheetName val="cash"/>
      <sheetName val="주변시세"/>
      <sheetName val="제시공문1"/>
      <sheetName val="년도별계"/>
      <sheetName val="조합원부담금"/>
      <sheetName val="조합무상지분율변화"/>
      <sheetName val="초기투입"/>
      <sheetName val="토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>
        <row r="45">
          <cell r="H45">
            <v>409223481.35463965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동우아산"/>
      <sheetName val="사업개요"/>
    </sheetNames>
    <definedNames>
      <definedName name="건축비용"/>
      <definedName name="기타자료"/>
      <definedName name="면적총괄"/>
      <definedName name="분양예측"/>
      <definedName name="손익분기"/>
      <definedName name="수입"/>
      <definedName name="제어판"/>
      <definedName name="지출계획"/>
      <definedName name="차트"/>
    </defined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  <sheetName val="소방감리대가 계산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E1">
            <v>10000</v>
          </cell>
          <cell r="F1">
            <v>200</v>
          </cell>
          <cell r="G1">
            <v>0.45</v>
          </cell>
        </row>
        <row r="2">
          <cell r="A2">
            <v>1000</v>
          </cell>
          <cell r="B2">
            <v>10.050000000000001</v>
          </cell>
          <cell r="C2">
            <v>10.5</v>
          </cell>
        </row>
        <row r="3">
          <cell r="A3">
            <v>2000</v>
          </cell>
          <cell r="B3">
            <v>9.15</v>
          </cell>
          <cell r="C3">
            <v>6</v>
          </cell>
        </row>
        <row r="4">
          <cell r="A4">
            <v>3000</v>
          </cell>
          <cell r="B4">
            <v>8.5500000000000007</v>
          </cell>
          <cell r="C4">
            <v>4</v>
          </cell>
        </row>
        <row r="5">
          <cell r="A5">
            <v>4000</v>
          </cell>
          <cell r="B5">
            <v>8.15</v>
          </cell>
          <cell r="C5">
            <v>3</v>
          </cell>
        </row>
        <row r="6">
          <cell r="A6">
            <v>5000</v>
          </cell>
          <cell r="B6">
            <v>7.65</v>
          </cell>
          <cell r="C6">
            <v>2</v>
          </cell>
        </row>
        <row r="7">
          <cell r="A7">
            <v>6000</v>
          </cell>
          <cell r="B7">
            <v>7.35</v>
          </cell>
          <cell r="C7">
            <v>1.5</v>
          </cell>
        </row>
        <row r="8">
          <cell r="A8">
            <v>8000</v>
          </cell>
          <cell r="B8">
            <v>6.87</v>
          </cell>
          <cell r="C8">
            <v>0.9</v>
          </cell>
        </row>
        <row r="9">
          <cell r="A9">
            <v>10000</v>
          </cell>
          <cell r="B9">
            <v>6.39</v>
          </cell>
          <cell r="C9">
            <v>0.42</v>
          </cell>
        </row>
        <row r="10">
          <cell r="A10">
            <v>20000</v>
          </cell>
          <cell r="B10">
            <v>5.78</v>
          </cell>
          <cell r="C10">
            <v>0.11667</v>
          </cell>
        </row>
        <row r="11">
          <cell r="A11">
            <v>50000</v>
          </cell>
          <cell r="B11">
            <v>5.4</v>
          </cell>
          <cell r="C11">
            <v>0.04</v>
          </cell>
        </row>
        <row r="12">
          <cell r="A12">
            <v>100000</v>
          </cell>
          <cell r="B12">
            <v>5.0999999999999996</v>
          </cell>
          <cell r="C12">
            <v>0.01</v>
          </cell>
        </row>
        <row r="13">
          <cell r="A13">
            <v>200000</v>
          </cell>
          <cell r="B13">
            <v>4.93</v>
          </cell>
          <cell r="C13">
            <v>1.67E-3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사업분석-분양가결정"/>
      <sheetName val="Sheet1"/>
      <sheetName val="1-최종안"/>
    </sheetNames>
    <sheetDataSet>
      <sheetData sheetId="0" refreshError="1">
        <row r="17">
          <cell r="H17">
            <v>34921696</v>
          </cell>
        </row>
      </sheetData>
      <sheetData sheetId="1" refreshError="1"/>
      <sheetData sheetId="2" refreshError="1">
        <row r="13">
          <cell r="G13">
            <v>0.2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사업예산"/>
      <sheetName val="사업수지"/>
      <sheetName val="자금수지"/>
      <sheetName val="토지내역"/>
      <sheetName val="공정표"/>
      <sheetName val="토지내역요약"/>
    </sheetNames>
    <sheetDataSet>
      <sheetData sheetId="0" refreshError="1"/>
      <sheetData sheetId="1" refreshError="1">
        <row r="77">
          <cell r="H77">
            <v>200000</v>
          </cell>
        </row>
        <row r="78">
          <cell r="H78">
            <v>200000</v>
          </cell>
        </row>
        <row r="79">
          <cell r="H79">
            <v>60187.359723562498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시행사운영비"/>
      <sheetName val="부산사업소"/>
      <sheetName val="대여금예산"/>
      <sheetName val="가사업예산"/>
      <sheetName val="일정안"/>
      <sheetName val="일정최근"/>
      <sheetName val="분양일정"/>
      <sheetName val="대덕일정"/>
      <sheetName val="건축심의명단"/>
      <sheetName val="과면세안분"/>
      <sheetName val="감정평가요약"/>
      <sheetName val="가예산(050321)"/>
      <sheetName val="가예산"/>
      <sheetName val="시유지관련"/>
      <sheetName val="총사업비산출내역서"/>
      <sheetName val="총공사비 구성현황표"/>
      <sheetName val="예정공정표"/>
      <sheetName val="사업개요"/>
      <sheetName val="감리비산출"/>
      <sheetName val="사업비제출"/>
      <sheetName val="사업비산출"/>
      <sheetName val="초기투입대여금"/>
      <sheetName val="당사"/>
      <sheetName val="자금수지"/>
      <sheetName val="세대면적"/>
      <sheetName val="기숙사개략"/>
      <sheetName val="Sheet2"/>
      <sheetName val="책임이익율변화"/>
      <sheetName val="대우방식"/>
      <sheetName val="연체손실분"/>
      <sheetName val="중도금연장"/>
      <sheetName val="매매계약내역"/>
      <sheetName val="Sheet6"/>
      <sheetName val="Sheet5"/>
      <sheetName val="공매내역"/>
      <sheetName val="Sheet4"/>
      <sheetName val="Sheet3"/>
      <sheetName val="Sheet7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협약"/>
      <sheetName val="수지"/>
      <sheetName val="CASH"/>
      <sheetName val="년도별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토지대"/>
      <sheetName val="사업분석"/>
      <sheetName val="자금수지"/>
      <sheetName val="년도별수지"/>
      <sheetName val="제세금"/>
    </sheetNames>
    <sheetDataSet>
      <sheetData sheetId="0" refreshError="1"/>
      <sheetData sheetId="1" refreshError="1">
        <row r="22">
          <cell r="I22">
            <v>8120740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VXXX"/>
      <sheetName val="계수"/>
      <sheetName val="영주청구"/>
      <sheetName val="치매병원"/>
      <sheetName val="화성 안동 선암"/>
      <sheetName val="신암재건축"/>
      <sheetName val="화성 구미 프레지던트"/>
    </sheetNames>
    <sheetDataSet>
      <sheetData sheetId="0" refreshError="1"/>
      <sheetData sheetId="1"/>
      <sheetData sheetId="2">
        <row r="1">
          <cell r="G1">
            <v>0.45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껍데기 (2)"/>
      <sheetName val="표지"/>
      <sheetName val="CONCEPT"/>
      <sheetName val="CONCEPT-DIAGRAM"/>
      <sheetName val="CONCEPT-MACRO"/>
      <sheetName val="입찰 정보"/>
      <sheetName val="원가 코드집"/>
      <sheetName val="DATABASE"/>
      <sheetName val="형틀정리-내역"/>
      <sheetName val="확약서"/>
      <sheetName val="신투부대"/>
    </sheetNames>
    <definedNames>
      <definedName name="원위치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실행대비"/>
    </sheetNames>
    <definedNames>
      <definedName name="행열변환_3.행열변환_3" refersTo="#REF!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공종대비"/>
    </sheetNames>
    <definedNames>
      <definedName name="행열변환_4.행열변환_4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2"/>
  <sheetViews>
    <sheetView view="pageBreakPreview" workbookViewId="0">
      <selection activeCell="F13" sqref="F13"/>
    </sheetView>
  </sheetViews>
  <sheetFormatPr defaultRowHeight="13.5"/>
  <cols>
    <col min="1" max="1" width="14.77734375" style="39" customWidth="1"/>
    <col min="2" max="2" width="13.5546875" style="39" customWidth="1"/>
    <col min="3" max="4" width="18.88671875" style="39" customWidth="1"/>
    <col min="5" max="5" width="8.88671875" style="39"/>
    <col min="6" max="6" width="11.21875" style="39" bestFit="1" customWidth="1"/>
    <col min="7" max="7" width="10.5546875" style="39" bestFit="1" customWidth="1"/>
    <col min="8" max="9" width="8.88671875" style="39"/>
    <col min="10" max="10" width="10.5546875" style="39" bestFit="1" customWidth="1"/>
    <col min="11" max="16384" width="8.88671875" style="39"/>
  </cols>
  <sheetData>
    <row r="1" spans="1:4" s="31" customFormat="1" ht="25.5">
      <c r="A1" s="281" t="s">
        <v>132</v>
      </c>
      <c r="B1" s="281"/>
      <c r="C1" s="281"/>
      <c r="D1" s="281"/>
    </row>
    <row r="2" spans="1:4" s="31" customFormat="1" ht="17.25" customHeight="1"/>
    <row r="3" spans="1:4" s="31" customFormat="1" ht="17.25" customHeight="1"/>
    <row r="4" spans="1:4" s="31" customFormat="1" ht="17.25" customHeight="1">
      <c r="A4" s="32" t="s">
        <v>133</v>
      </c>
    </row>
    <row r="5" spans="1:4" s="31" customFormat="1" ht="17.25" customHeight="1">
      <c r="A5" s="244" t="e">
        <f>#REF!&amp;" 신축공사"</f>
        <v>#REF!</v>
      </c>
    </row>
    <row r="6" spans="1:4" s="31" customFormat="1" ht="17.25" customHeight="1"/>
    <row r="7" spans="1:4" s="31" customFormat="1" ht="17.25" customHeight="1">
      <c r="A7" s="32" t="s">
        <v>134</v>
      </c>
    </row>
    <row r="8" spans="1:4" s="31" customFormat="1" ht="17.25" customHeight="1">
      <c r="A8" s="244" t="e">
        <f>#REF!</f>
        <v>#REF!</v>
      </c>
    </row>
    <row r="9" spans="1:4" s="31" customFormat="1" ht="17.25" customHeight="1"/>
    <row r="10" spans="1:4" s="31" customFormat="1" ht="17.25" customHeight="1">
      <c r="A10" s="32" t="s">
        <v>135</v>
      </c>
    </row>
    <row r="11" spans="1:4" s="31" customFormat="1" ht="17.25" customHeight="1">
      <c r="A11" s="244" t="e">
        <f>#REF!</f>
        <v>#REF!</v>
      </c>
    </row>
    <row r="12" spans="1:4" s="31" customFormat="1" ht="17.25" customHeight="1">
      <c r="A12" s="244" t="e">
        <f>#REF!&amp;" 대표이사 "&amp;#REF!&amp;" (☎"&amp;#REF!&amp;")"</f>
        <v>#REF!</v>
      </c>
    </row>
    <row r="13" spans="1:4" s="31" customFormat="1" ht="17.25" customHeight="1"/>
    <row r="14" spans="1:4" s="31" customFormat="1" ht="17.25" customHeight="1">
      <c r="A14" s="32" t="s">
        <v>136</v>
      </c>
    </row>
    <row r="15" spans="1:4" s="31" customFormat="1" ht="17.25" customHeight="1">
      <c r="A15" s="244" t="e">
        <f>#REF!</f>
        <v>#REF!</v>
      </c>
    </row>
    <row r="16" spans="1:4" s="31" customFormat="1" ht="17.25" customHeight="1">
      <c r="A16" s="31" t="e">
        <f>#REF!&amp;" 대표이사 "&amp;#REF!&amp;" (☎"&amp;#REF!&amp;")"</f>
        <v>#REF!</v>
      </c>
    </row>
    <row r="17" spans="1:6" s="31" customFormat="1" ht="17.25" customHeight="1">
      <c r="A17" s="245" t="e">
        <f>#REF!</f>
        <v>#REF!</v>
      </c>
    </row>
    <row r="18" spans="1:6" s="31" customFormat="1" ht="17.25" customHeight="1">
      <c r="A18" s="245" t="e">
        <f>#REF!&amp;" 대표이사 한주엽"&amp;" ("&amp;#REF!&amp;")"</f>
        <v>#REF!</v>
      </c>
    </row>
    <row r="19" spans="1:6" s="31" customFormat="1" ht="17.25" customHeight="1">
      <c r="A19" s="32" t="s">
        <v>137</v>
      </c>
    </row>
    <row r="20" spans="1:6" s="31" customFormat="1" ht="17.25" customHeight="1">
      <c r="A20" s="31" t="e">
        <f>A11</f>
        <v>#REF!</v>
      </c>
    </row>
    <row r="21" spans="1:6" s="31" customFormat="1" ht="17.25" customHeight="1">
      <c r="A21" s="31" t="e">
        <f>A12</f>
        <v>#REF!</v>
      </c>
    </row>
    <row r="22" spans="1:6" s="31" customFormat="1" ht="17.25" customHeight="1"/>
    <row r="23" spans="1:6" s="31" customFormat="1" ht="17.25" customHeight="1">
      <c r="A23" s="32" t="e">
        <f>"6. 주택건설사업계획승인신청일 : "&amp;#REF!</f>
        <v>#REF!</v>
      </c>
    </row>
    <row r="24" spans="1:6" s="31" customFormat="1" ht="17.25" customHeight="1">
      <c r="A24" s="200" t="e">
        <f>"    주택건설사업계획승인일       : "&amp;#REF!</f>
        <v>#REF!</v>
      </c>
    </row>
    <row r="25" spans="1:6" s="31" customFormat="1" ht="17.25" customHeight="1"/>
    <row r="26" spans="1:6" s="31" customFormat="1" ht="17.25" customHeight="1">
      <c r="A26" s="32" t="s">
        <v>138</v>
      </c>
    </row>
    <row r="27" spans="1:6" s="31" customFormat="1" ht="17.25" customHeight="1">
      <c r="A27" s="199" t="s">
        <v>257</v>
      </c>
      <c r="B27" s="201" t="e">
        <f>#REF!</f>
        <v>#REF!</v>
      </c>
      <c r="C27" s="202" t="e">
        <f>B27*0.3025</f>
        <v>#REF!</v>
      </c>
      <c r="F27" s="242"/>
    </row>
    <row r="28" spans="1:6" s="31" customFormat="1" ht="17.25" customHeight="1">
      <c r="A28" s="203" t="s">
        <v>258</v>
      </c>
      <c r="B28" s="204" t="e">
        <f>#REF!</f>
        <v>#REF!</v>
      </c>
      <c r="C28" s="202" t="e">
        <f>B28*0.3025</f>
        <v>#REF!</v>
      </c>
      <c r="D28" s="242" t="e">
        <f>"/용적율 "&amp;#REF!*100&amp;" %"</f>
        <v>#REF!</v>
      </c>
      <c r="F28" s="242"/>
    </row>
    <row r="29" spans="1:6" s="31" customFormat="1" ht="17.25" customHeight="1">
      <c r="A29" s="203" t="s">
        <v>338</v>
      </c>
      <c r="B29" s="204" t="e">
        <f>#REF!</f>
        <v>#REF!</v>
      </c>
      <c r="C29" s="202" t="e">
        <f>B29*0.3025</f>
        <v>#REF!</v>
      </c>
      <c r="D29" s="242" t="e">
        <f>"/건폐율 "&amp;#REF!*100&amp;" %"</f>
        <v>#REF!</v>
      </c>
      <c r="F29" s="242"/>
    </row>
    <row r="30" spans="1:6" s="31" customFormat="1" ht="17.25" customHeight="1">
      <c r="A30" s="199" t="s">
        <v>336</v>
      </c>
      <c r="B30" s="31" t="e">
        <f>#REF!</f>
        <v>#REF!</v>
      </c>
    </row>
    <row r="31" spans="1:6" s="31" customFormat="1" ht="17.25" customHeight="1">
      <c r="A31" s="243" t="s">
        <v>337</v>
      </c>
      <c r="B31" s="198" t="e">
        <f>#REF!</f>
        <v>#REF!</v>
      </c>
    </row>
    <row r="32" spans="1:6" s="31" customFormat="1" ht="17.25" customHeight="1">
      <c r="A32" s="33" t="s">
        <v>139</v>
      </c>
    </row>
    <row r="33" spans="1:6" s="31" customFormat="1" ht="17.25" customHeight="1">
      <c r="A33" s="205" t="s">
        <v>340</v>
      </c>
      <c r="B33" s="34" t="s">
        <v>140</v>
      </c>
      <c r="C33" s="34" t="s">
        <v>141</v>
      </c>
      <c r="D33" s="34" t="s">
        <v>142</v>
      </c>
    </row>
    <row r="34" spans="1:6" s="31" customFormat="1" ht="17.25" customHeight="1">
      <c r="A34" s="247">
        <f>D34</f>
        <v>109.2869</v>
      </c>
      <c r="B34" s="35">
        <v>280</v>
      </c>
      <c r="C34" s="36">
        <v>84.995900000000006</v>
      </c>
      <c r="D34" s="36">
        <v>109.2869</v>
      </c>
    </row>
    <row r="35" spans="1:6" s="31" customFormat="1" ht="17.25" customHeight="1">
      <c r="A35" s="247">
        <f>D35</f>
        <v>109.98009999999999</v>
      </c>
      <c r="B35" s="35">
        <v>280</v>
      </c>
      <c r="C35" s="36">
        <v>84.998999999999995</v>
      </c>
      <c r="D35" s="36">
        <v>109.98009999999999</v>
      </c>
    </row>
    <row r="36" spans="1:6" s="31" customFormat="1" ht="17.25" customHeight="1">
      <c r="A36" s="247">
        <f>D36</f>
        <v>109.9393</v>
      </c>
      <c r="B36" s="35">
        <v>88</v>
      </c>
      <c r="C36" s="36">
        <v>84.998999999999995</v>
      </c>
      <c r="D36" s="36">
        <v>109.9393</v>
      </c>
    </row>
    <row r="37" spans="1:6" s="31" customFormat="1" ht="17.25" customHeight="1">
      <c r="A37" s="205"/>
      <c r="B37" s="35"/>
      <c r="C37" s="36"/>
      <c r="D37" s="36"/>
    </row>
    <row r="38" spans="1:6" s="31" customFormat="1" ht="17.25" customHeight="1">
      <c r="A38" s="205"/>
      <c r="B38" s="35"/>
      <c r="C38" s="36"/>
      <c r="D38" s="36"/>
    </row>
    <row r="39" spans="1:6" s="31" customFormat="1" ht="17.25" customHeight="1">
      <c r="A39" s="34"/>
      <c r="B39" s="35"/>
      <c r="C39" s="36"/>
      <c r="D39" s="36"/>
    </row>
    <row r="40" spans="1:6" s="31" customFormat="1" ht="17.25" customHeight="1">
      <c r="A40" s="34" t="s">
        <v>107</v>
      </c>
      <c r="B40" s="35">
        <f>SUM(B34:B39)</f>
        <v>648</v>
      </c>
      <c r="C40" s="37"/>
      <c r="D40" s="37"/>
      <c r="F40" s="38"/>
    </row>
    <row r="41" spans="1:6" ht="17.25" customHeight="1"/>
    <row r="42" spans="1:6" s="31" customFormat="1" ht="17.25" customHeight="1">
      <c r="A42" s="32" t="s">
        <v>143</v>
      </c>
    </row>
    <row r="43" spans="1:6" s="31" customFormat="1" ht="17.25" customHeight="1">
      <c r="A43" s="199" t="s">
        <v>259</v>
      </c>
      <c r="B43" s="198" t="e">
        <f>#REF!</f>
        <v>#REF!</v>
      </c>
      <c r="C43" s="199" t="s">
        <v>260</v>
      </c>
    </row>
    <row r="44" spans="1:6" s="31" customFormat="1" ht="17.25" customHeight="1">
      <c r="A44" s="199" t="s">
        <v>261</v>
      </c>
      <c r="B44" s="198" t="e">
        <f>#REF!</f>
        <v>#REF!</v>
      </c>
      <c r="C44" s="199" t="s">
        <v>260</v>
      </c>
    </row>
    <row r="45" spans="1:6" s="31" customFormat="1" ht="17.25" customHeight="1">
      <c r="A45" s="199" t="s">
        <v>262</v>
      </c>
      <c r="B45" s="198">
        <f>'총사업비 산출총괄표'!D11</f>
        <v>73445773</v>
      </c>
      <c r="C45" s="199" t="s">
        <v>260</v>
      </c>
    </row>
    <row r="46" spans="1:6" s="31" customFormat="1" ht="17.25" customHeight="1">
      <c r="A46" s="278" t="s">
        <v>144</v>
      </c>
      <c r="B46" s="278"/>
      <c r="C46" s="278" t="s">
        <v>145</v>
      </c>
      <c r="D46" s="278"/>
    </row>
    <row r="47" spans="1:6" s="31" customFormat="1" ht="17.25" customHeight="1">
      <c r="A47" s="278" t="s">
        <v>146</v>
      </c>
      <c r="B47" s="278"/>
      <c r="C47" s="279">
        <f>'총사업비 산출총괄표'!F11</f>
        <v>61865218</v>
      </c>
      <c r="D47" s="280"/>
    </row>
    <row r="48" spans="1:6" s="31" customFormat="1" ht="17.25" customHeight="1">
      <c r="A48" s="278" t="s">
        <v>147</v>
      </c>
      <c r="B48" s="278"/>
      <c r="C48" s="279" t="s">
        <v>148</v>
      </c>
      <c r="D48" s="280"/>
    </row>
    <row r="49" spans="1:10" s="31" customFormat="1" ht="17.25" customHeight="1">
      <c r="A49" s="278" t="s">
        <v>149</v>
      </c>
      <c r="B49" s="278"/>
      <c r="C49" s="279">
        <f>'총사업비 산출총괄표'!H11</f>
        <v>11580555</v>
      </c>
      <c r="D49" s="280"/>
      <c r="J49" s="40"/>
    </row>
    <row r="50" spans="1:10" s="31" customFormat="1" ht="17.25" customHeight="1">
      <c r="A50" s="278" t="s">
        <v>150</v>
      </c>
      <c r="B50" s="278"/>
      <c r="C50" s="279">
        <f>SUM(C47:D49)</f>
        <v>73445773</v>
      </c>
      <c r="D50" s="280"/>
    </row>
    <row r="51" spans="1:10" s="31" customFormat="1" ht="17.25" customHeight="1"/>
    <row r="52" spans="1:10" s="31" customFormat="1" ht="17.25" customHeight="1">
      <c r="A52" s="31" t="s">
        <v>151</v>
      </c>
    </row>
    <row r="53" spans="1:10" s="31" customFormat="1" ht="17.25" customHeight="1">
      <c r="A53" s="278" t="s">
        <v>144</v>
      </c>
      <c r="B53" s="278"/>
      <c r="C53" s="278" t="s">
        <v>145</v>
      </c>
      <c r="D53" s="278"/>
    </row>
    <row r="54" spans="1:10" s="31" customFormat="1" ht="17.25" customHeight="1">
      <c r="A54" s="278" t="s">
        <v>152</v>
      </c>
      <c r="B54" s="278"/>
      <c r="C54" s="279">
        <f>'총사업비 산출총괄표'!H8</f>
        <v>5112828</v>
      </c>
      <c r="D54" s="280"/>
    </row>
    <row r="55" spans="1:10" s="31" customFormat="1" ht="17.25" customHeight="1">
      <c r="A55" s="278" t="s">
        <v>153</v>
      </c>
      <c r="B55" s="278"/>
      <c r="C55" s="279">
        <f>'총사업비 산출총괄표'!H9</f>
        <v>2812055</v>
      </c>
      <c r="D55" s="280"/>
    </row>
    <row r="56" spans="1:10" s="31" customFormat="1" ht="17.25" customHeight="1">
      <c r="A56" s="278" t="s">
        <v>154</v>
      </c>
      <c r="B56" s="278"/>
      <c r="C56" s="279">
        <f>'총사업비 산출총괄표'!H10</f>
        <v>3655672</v>
      </c>
      <c r="D56" s="280"/>
    </row>
    <row r="57" spans="1:10" s="31" customFormat="1" ht="17.25" customHeight="1">
      <c r="A57" s="278" t="s">
        <v>155</v>
      </c>
      <c r="B57" s="278"/>
      <c r="C57" s="279">
        <f>SUM('총사업비 산출총괄표'!D12:D13)</f>
        <v>11768026</v>
      </c>
      <c r="D57" s="280"/>
    </row>
    <row r="58" spans="1:10" s="31" customFormat="1" ht="17.25" customHeight="1">
      <c r="A58" s="278" t="s">
        <v>150</v>
      </c>
      <c r="B58" s="278"/>
      <c r="C58" s="279">
        <f>SUM(C54:D57)</f>
        <v>23348581</v>
      </c>
      <c r="D58" s="280"/>
    </row>
    <row r="59" spans="1:10" s="41" customFormat="1"/>
    <row r="60" spans="1:10" s="41" customFormat="1">
      <c r="D60" s="42"/>
    </row>
    <row r="61" spans="1:10" s="41" customFormat="1"/>
    <row r="62" spans="1:10" s="41" customFormat="1"/>
    <row r="63" spans="1:10" s="41" customFormat="1"/>
    <row r="64" spans="1:10" s="41" customFormat="1"/>
    <row r="65" s="41" customFormat="1"/>
    <row r="66" s="41" customFormat="1"/>
    <row r="67" s="41" customFormat="1"/>
    <row r="68" s="41" customFormat="1"/>
    <row r="69" s="41" customFormat="1"/>
    <row r="70" s="41" customFormat="1"/>
    <row r="71" s="41" customFormat="1"/>
    <row r="72" s="41" customFormat="1"/>
  </sheetData>
  <mergeCells count="23">
    <mergeCell ref="A58:B58"/>
    <mergeCell ref="C58:D58"/>
    <mergeCell ref="A56:B56"/>
    <mergeCell ref="C56:D56"/>
    <mergeCell ref="A57:B57"/>
    <mergeCell ref="C57:D57"/>
    <mergeCell ref="A54:B54"/>
    <mergeCell ref="C54:D54"/>
    <mergeCell ref="A55:B55"/>
    <mergeCell ref="C55:D55"/>
    <mergeCell ref="A50:B50"/>
    <mergeCell ref="C50:D50"/>
    <mergeCell ref="A53:B53"/>
    <mergeCell ref="C53:D53"/>
    <mergeCell ref="A48:B48"/>
    <mergeCell ref="C48:D48"/>
    <mergeCell ref="A49:B49"/>
    <mergeCell ref="C49:D49"/>
    <mergeCell ref="A1:D1"/>
    <mergeCell ref="A46:B46"/>
    <mergeCell ref="C46:D46"/>
    <mergeCell ref="A47:B47"/>
    <mergeCell ref="C47:D47"/>
  </mergeCells>
  <phoneticPr fontId="3" type="noConversion"/>
  <pageMargins left="0.75" right="0.75" top="1" bottom="1" header="0.5" footer="0.5"/>
  <pageSetup paperSize="9" scale="99" orientation="portrait" r:id="rId1"/>
  <headerFooter alignWithMargins="0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44"/>
  <sheetViews>
    <sheetView view="pageBreakPreview" zoomScale="70" zoomScaleNormal="85" workbookViewId="0">
      <selection activeCell="K18" sqref="K18"/>
    </sheetView>
  </sheetViews>
  <sheetFormatPr defaultRowHeight="13.5"/>
  <cols>
    <col min="1" max="8" width="14.109375" style="39" customWidth="1"/>
    <col min="9" max="9" width="18" style="39" customWidth="1"/>
    <col min="10" max="10" width="8.88671875" style="39"/>
    <col min="11" max="11" width="10.21875" style="39" customWidth="1"/>
    <col min="12" max="13" width="8.88671875" style="39"/>
    <col min="14" max="14" width="8.6640625" style="39" customWidth="1"/>
    <col min="15" max="16384" width="8.88671875" style="39"/>
  </cols>
  <sheetData>
    <row r="1" spans="1:14" s="31" customFormat="1" ht="24.75" customHeight="1">
      <c r="A1" s="282" t="e">
        <f>#REF!&amp;" 신축공사 감리비 산출서"</f>
        <v>#REF!</v>
      </c>
      <c r="B1" s="282"/>
      <c r="C1" s="282"/>
      <c r="D1" s="282"/>
      <c r="E1" s="282"/>
      <c r="F1" s="282"/>
      <c r="G1" s="282"/>
      <c r="H1" s="282"/>
      <c r="I1" s="43"/>
      <c r="J1" s="43"/>
      <c r="K1" s="43"/>
    </row>
    <row r="2" spans="1:14" s="44" customFormat="1" ht="16.5" customHeight="1"/>
    <row r="3" spans="1:14" s="44" customFormat="1" ht="18.75" customHeight="1">
      <c r="A3" s="45" t="s">
        <v>156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14" s="44" customFormat="1" ht="18.75" customHeight="1">
      <c r="A4" s="46" t="s">
        <v>157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</row>
    <row r="5" spans="1:14" s="44" customFormat="1" ht="18.75" customHeight="1">
      <c r="A5" s="46"/>
      <c r="B5" s="47" t="s">
        <v>130</v>
      </c>
      <c r="C5" s="47" t="s">
        <v>158</v>
      </c>
      <c r="D5" s="47" t="s">
        <v>159</v>
      </c>
      <c r="E5" s="47" t="s">
        <v>160</v>
      </c>
      <c r="F5" s="47" t="s">
        <v>161</v>
      </c>
      <c r="G5" s="47" t="s">
        <v>162</v>
      </c>
      <c r="H5" s="47" t="s">
        <v>163</v>
      </c>
      <c r="I5" s="46"/>
    </row>
    <row r="6" spans="1:14" s="44" customFormat="1" ht="18.75" customHeight="1">
      <c r="A6" s="46"/>
      <c r="B6" s="48" t="s">
        <v>164</v>
      </c>
      <c r="C6" s="49">
        <v>38.1</v>
      </c>
      <c r="D6" s="49">
        <v>73.8</v>
      </c>
      <c r="E6" s="49">
        <v>163.19999999999999</v>
      </c>
      <c r="F6" s="49">
        <v>277</v>
      </c>
      <c r="G6" s="49">
        <v>472</v>
      </c>
      <c r="H6" s="49">
        <v>645.20000000000005</v>
      </c>
      <c r="I6" s="46"/>
    </row>
    <row r="7" spans="1:14" s="44" customFormat="1" ht="18.75" customHeight="1">
      <c r="A7" s="46"/>
      <c r="B7" s="50"/>
      <c r="C7" s="51"/>
      <c r="D7" s="51"/>
      <c r="E7" s="51"/>
      <c r="F7" s="51"/>
      <c r="G7" s="51"/>
      <c r="H7" s="51"/>
      <c r="I7" s="46"/>
    </row>
    <row r="8" spans="1:14" s="44" customFormat="1" ht="18.75" customHeight="1">
      <c r="A8" s="46"/>
      <c r="B8" s="47" t="s">
        <v>130</v>
      </c>
      <c r="C8" s="47" t="s">
        <v>165</v>
      </c>
      <c r="D8" s="47" t="s">
        <v>160</v>
      </c>
      <c r="E8" s="47" t="s">
        <v>161</v>
      </c>
      <c r="F8" s="47" t="s">
        <v>162</v>
      </c>
      <c r="G8" s="47" t="s">
        <v>163</v>
      </c>
      <c r="H8" s="47" t="s">
        <v>166</v>
      </c>
      <c r="I8" s="46"/>
    </row>
    <row r="9" spans="1:14" s="44" customFormat="1" ht="18.75" customHeight="1">
      <c r="A9" s="46"/>
      <c r="B9" s="48" t="s">
        <v>167</v>
      </c>
      <c r="C9" s="246">
        <v>2.69</v>
      </c>
      <c r="D9" s="246">
        <v>2.39</v>
      </c>
      <c r="E9" s="246">
        <v>2.33</v>
      </c>
      <c r="F9" s="246">
        <v>2.2999999999999998</v>
      </c>
      <c r="G9" s="246">
        <v>2.2400000000000002</v>
      </c>
      <c r="H9" s="49"/>
      <c r="I9" s="210" t="s">
        <v>339</v>
      </c>
    </row>
    <row r="10" spans="1:14" s="44" customFormat="1" ht="18.75" customHeight="1">
      <c r="A10" s="46" t="s">
        <v>263</v>
      </c>
      <c r="B10" s="206">
        <f>'총사업비 산출총괄표'!F14</f>
        <v>71777721</v>
      </c>
      <c r="C10" s="46" t="s">
        <v>264</v>
      </c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</row>
    <row r="11" spans="1:14" s="44" customFormat="1" ht="18.75" customHeight="1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</row>
    <row r="12" spans="1:14" s="44" customFormat="1" ht="18.75" customHeight="1">
      <c r="A12" s="46"/>
      <c r="B12" s="46" t="s">
        <v>168</v>
      </c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</row>
    <row r="13" spans="1:14" s="44" customFormat="1" ht="18.75" customHeight="1">
      <c r="A13" s="46"/>
      <c r="B13" s="46" t="s">
        <v>265</v>
      </c>
      <c r="C13" s="46" t="e">
        <f>#REF!&amp;"+ (("&amp;B10/100000&amp;"-"&amp;#REF!/100000&amp;")×("&amp;#REF!&amp;"-"&amp;#REF!&amp;")/("&amp;#REF!/100000&amp;"-"&amp;#REF!/100000&amp;")) = "</f>
        <v>#REF!</v>
      </c>
      <c r="D13" s="46"/>
      <c r="E13" s="46"/>
      <c r="F13" s="46"/>
      <c r="H13" s="207" t="e">
        <f>ROUND(#REF!+ ((B10/100000-#REF!/100000)*(#REF!-#REF!)/(#REF!/100000-#REF!/100000)),3)</f>
        <v>#REF!</v>
      </c>
      <c r="I13" s="46"/>
      <c r="J13" s="46"/>
      <c r="K13" s="46"/>
      <c r="L13" s="46"/>
      <c r="M13" s="46"/>
      <c r="N13" s="46"/>
    </row>
    <row r="14" spans="1:14" s="44" customFormat="1" ht="18.75" customHeight="1">
      <c r="A14" s="46"/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</row>
    <row r="15" spans="1:14" s="44" customFormat="1" ht="18.75" customHeight="1">
      <c r="A15" s="46"/>
      <c r="B15" s="46" t="s">
        <v>169</v>
      </c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</row>
    <row r="16" spans="1:14" s="44" customFormat="1" ht="18.75" customHeight="1">
      <c r="A16" s="46"/>
      <c r="B16" s="46" t="s">
        <v>266</v>
      </c>
      <c r="C16" s="46" t="e">
        <f>#REF!&amp;" - (("&amp;#REF!/100000&amp;"-"&amp;#REF!/100000&amp;")×("&amp;#REF!&amp;"-"&amp;#REF!&amp;")/("&amp;#REF!/100000&amp;"-"&amp;#REF!/100000&amp;")) = "</f>
        <v>#REF!</v>
      </c>
      <c r="D16" s="46"/>
      <c r="E16" s="46"/>
      <c r="F16" s="46"/>
      <c r="H16" s="208" t="e">
        <f>ROUND(#REF!-((#REF!/100000-#REF!/100000)*(#REF!-#REF!)/(#REF!/100000-#REF!/100000)),6)</f>
        <v>#REF!</v>
      </c>
      <c r="I16" s="46"/>
      <c r="J16" s="46"/>
      <c r="K16" s="46"/>
      <c r="L16" s="46"/>
      <c r="M16" s="46"/>
      <c r="N16" s="46"/>
    </row>
    <row r="17" spans="1:14" s="44" customFormat="1" ht="18.75" customHeight="1">
      <c r="A17" s="46"/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</row>
    <row r="18" spans="1:14" s="44" customFormat="1" ht="18.75" customHeight="1">
      <c r="A18" s="46"/>
      <c r="B18" s="52" t="s">
        <v>267</v>
      </c>
      <c r="C18" s="46" t="e">
        <f>B10&amp;" X "&amp;H16&amp;" = "</f>
        <v>#REF!</v>
      </c>
      <c r="D18" s="46"/>
      <c r="E18" s="209" t="e">
        <f>ROUNDDOWN(B10*H16,0)</f>
        <v>#REF!</v>
      </c>
      <c r="F18" s="46" t="s">
        <v>268</v>
      </c>
      <c r="G18" s="46"/>
      <c r="H18" s="53"/>
      <c r="I18" s="54"/>
      <c r="J18" s="46"/>
      <c r="K18" s="46"/>
      <c r="L18" s="46"/>
      <c r="M18" s="46"/>
      <c r="N18" s="46"/>
    </row>
    <row r="19" spans="1:14" s="44" customFormat="1" ht="18.75" customHeight="1">
      <c r="A19" s="46"/>
      <c r="B19" s="52" t="s">
        <v>170</v>
      </c>
      <c r="C19" s="46" t="e">
        <f>B10&amp;" X "&amp;H16&amp;" *1.1 = "</f>
        <v>#REF!</v>
      </c>
      <c r="D19" s="46"/>
      <c r="E19" s="55" t="e">
        <f>B10*H16*1.1</f>
        <v>#REF!</v>
      </c>
      <c r="F19" s="46" t="s">
        <v>269</v>
      </c>
      <c r="G19" s="46"/>
      <c r="H19" s="46"/>
      <c r="I19" s="55"/>
      <c r="J19" s="46"/>
      <c r="K19" s="46"/>
      <c r="L19" s="46"/>
      <c r="M19" s="46"/>
      <c r="N19" s="46"/>
    </row>
    <row r="20" spans="1:14" s="44" customFormat="1" ht="18.75" customHeight="1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</row>
    <row r="21" spans="1:14" s="44" customFormat="1" ht="18.75" customHeight="1">
      <c r="A21" s="46" t="s">
        <v>171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</row>
    <row r="22" spans="1:14" s="44" customFormat="1" ht="18.75" customHeight="1">
      <c r="A22" s="46" t="s">
        <v>172</v>
      </c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</row>
    <row r="23" spans="1:14" s="44" customFormat="1" ht="18.75" customHeight="1">
      <c r="A23" s="46" t="s">
        <v>173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</row>
    <row r="24" spans="1:14" s="44" customFormat="1" ht="18.75" customHeight="1">
      <c r="A24" s="46" t="s">
        <v>174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</row>
    <row r="25" spans="1:14" s="44" customFormat="1" ht="18.75" customHeight="1">
      <c r="A25" s="46" t="s">
        <v>175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</row>
    <row r="26" spans="1:14" s="44" customFormat="1" ht="18.75" customHeight="1">
      <c r="A26" s="46" t="s">
        <v>176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</row>
    <row r="27" spans="1:14" s="44" customFormat="1" ht="18.75" customHeight="1">
      <c r="A27" s="210" t="s">
        <v>341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</row>
    <row r="28" spans="1:14" s="44" customFormat="1" ht="18.75" customHeight="1">
      <c r="A28" s="210" t="s">
        <v>7</v>
      </c>
      <c r="B28" s="210"/>
      <c r="C28" s="210"/>
      <c r="D28" s="210"/>
      <c r="E28" s="210"/>
      <c r="F28" s="46"/>
      <c r="G28" s="46"/>
      <c r="H28" s="46"/>
      <c r="I28" s="46"/>
      <c r="J28" s="46"/>
      <c r="K28" s="46"/>
      <c r="L28" s="46"/>
      <c r="M28" s="46"/>
      <c r="N28" s="46"/>
    </row>
    <row r="29" spans="1:14" s="44" customFormat="1" ht="18.75" customHeight="1">
      <c r="A29" s="210" t="s">
        <v>8</v>
      </c>
      <c r="B29" s="210"/>
      <c r="C29" s="210"/>
      <c r="D29" s="210"/>
      <c r="E29" s="210"/>
      <c r="F29" s="46"/>
      <c r="G29" s="46"/>
      <c r="H29" s="46"/>
      <c r="I29" s="46"/>
      <c r="J29" s="46"/>
      <c r="K29" s="46"/>
      <c r="L29" s="46"/>
      <c r="M29" s="46"/>
      <c r="N29" s="46"/>
    </row>
    <row r="30" spans="1:14" s="44" customFormat="1" ht="18.75" customHeight="1">
      <c r="A30" s="210" t="s">
        <v>177</v>
      </c>
      <c r="B30" s="210"/>
      <c r="C30" s="210"/>
      <c r="D30" s="210"/>
      <c r="E30" s="210"/>
      <c r="F30" s="46"/>
      <c r="G30" s="46"/>
      <c r="H30" s="46"/>
      <c r="I30" s="46"/>
      <c r="J30" s="46"/>
      <c r="K30" s="46"/>
      <c r="L30" s="46"/>
      <c r="M30" s="46"/>
      <c r="N30" s="46"/>
    </row>
    <row r="31" spans="1:14" s="44" customFormat="1" ht="18.75" customHeight="1">
      <c r="A31" s="210"/>
      <c r="B31" s="210"/>
      <c r="C31" s="210"/>
      <c r="D31" s="210"/>
      <c r="E31" s="210"/>
      <c r="F31" s="46"/>
      <c r="G31" s="46"/>
      <c r="H31" s="46"/>
      <c r="I31" s="46"/>
      <c r="J31" s="46"/>
      <c r="K31" s="46"/>
      <c r="L31" s="46"/>
      <c r="M31" s="46"/>
      <c r="N31" s="46"/>
    </row>
    <row r="32" spans="1:14" s="238" customFormat="1" ht="18.75" customHeight="1">
      <c r="A32" s="235" t="s">
        <v>10</v>
      </c>
      <c r="B32" s="236"/>
      <c r="C32" s="237" t="e">
        <f>#REF!/1000</f>
        <v>#REF!</v>
      </c>
      <c r="D32" s="235" t="s">
        <v>9</v>
      </c>
      <c r="E32" s="235"/>
      <c r="F32" s="235"/>
      <c r="G32" s="235"/>
      <c r="H32" s="235"/>
      <c r="I32" s="235"/>
      <c r="J32" s="235"/>
      <c r="K32" s="235"/>
      <c r="L32" s="235"/>
      <c r="M32" s="235"/>
      <c r="N32" s="235"/>
    </row>
    <row r="33" spans="1:14" s="238" customFormat="1" ht="18.75" customHeight="1">
      <c r="A33" s="235" t="s">
        <v>11</v>
      </c>
      <c r="B33" s="236"/>
      <c r="C33" s="237" t="e">
        <f>C32*1.1</f>
        <v>#REF!</v>
      </c>
      <c r="D33" s="235" t="s">
        <v>12</v>
      </c>
      <c r="E33" s="235"/>
      <c r="F33" s="235"/>
      <c r="G33" s="235"/>
      <c r="H33" s="235"/>
      <c r="I33" s="235"/>
      <c r="J33" s="235"/>
      <c r="K33" s="235"/>
      <c r="L33" s="235"/>
      <c r="M33" s="235"/>
      <c r="N33" s="235"/>
    </row>
    <row r="34" spans="1:14" s="238" customFormat="1" ht="18.75" customHeight="1">
      <c r="A34" s="235" t="s">
        <v>13</v>
      </c>
      <c r="B34" s="236"/>
      <c r="C34" s="237">
        <f>' 7소방'!K26/1000</f>
        <v>95000</v>
      </c>
      <c r="D34" s="235" t="s">
        <v>9</v>
      </c>
      <c r="E34" s="235"/>
      <c r="F34" s="235"/>
      <c r="G34" s="235"/>
      <c r="H34" s="235"/>
      <c r="I34" s="235"/>
      <c r="J34" s="235"/>
      <c r="K34" s="235"/>
      <c r="L34" s="235"/>
      <c r="M34" s="235"/>
      <c r="N34" s="235"/>
    </row>
    <row r="35" spans="1:14" s="238" customFormat="1" ht="18.75" customHeight="1">
      <c r="A35" s="235" t="s">
        <v>178</v>
      </c>
      <c r="B35" s="236"/>
      <c r="C35" s="237">
        <f>C34*1.1</f>
        <v>104500.00000000001</v>
      </c>
      <c r="D35" s="235" t="s">
        <v>12</v>
      </c>
      <c r="E35" s="235"/>
      <c r="F35" s="235"/>
      <c r="G35" s="235"/>
      <c r="H35" s="235"/>
      <c r="I35" s="235"/>
      <c r="J35" s="235"/>
      <c r="K35" s="235"/>
      <c r="L35" s="235"/>
      <c r="M35" s="235"/>
      <c r="N35" s="235"/>
    </row>
    <row r="36" spans="1:14" s="238" customFormat="1" ht="18.75" customHeight="1">
      <c r="A36" s="235" t="s">
        <v>14</v>
      </c>
      <c r="B36" s="236"/>
      <c r="C36" s="237">
        <f>'6정보통신'!I28/1000</f>
        <v>35000</v>
      </c>
      <c r="D36" s="235" t="s">
        <v>15</v>
      </c>
      <c r="E36" s="235"/>
      <c r="F36" s="235"/>
      <c r="G36" s="235"/>
      <c r="H36" s="235"/>
      <c r="I36" s="235"/>
      <c r="J36" s="235"/>
      <c r="K36" s="235"/>
      <c r="L36" s="235"/>
      <c r="M36" s="235"/>
      <c r="N36" s="235"/>
    </row>
    <row r="37" spans="1:14" s="238" customFormat="1" ht="18.75" customHeight="1">
      <c r="A37" s="235" t="s">
        <v>179</v>
      </c>
      <c r="B37" s="236"/>
      <c r="C37" s="237">
        <f>C36*1.1</f>
        <v>38500</v>
      </c>
      <c r="D37" s="235" t="s">
        <v>12</v>
      </c>
      <c r="E37" s="235"/>
      <c r="F37" s="235"/>
      <c r="G37" s="235"/>
      <c r="H37" s="235"/>
      <c r="I37" s="235"/>
      <c r="J37" s="235"/>
      <c r="K37" s="235"/>
      <c r="L37" s="235"/>
      <c r="M37" s="235"/>
      <c r="N37" s="235"/>
    </row>
    <row r="38" spans="1:14" s="238" customFormat="1" ht="18.75" customHeight="1">
      <c r="A38" s="235" t="s">
        <v>180</v>
      </c>
      <c r="B38" s="239" t="s">
        <v>16</v>
      </c>
      <c r="C38" s="235"/>
      <c r="D38" s="237" t="e">
        <f>C32+C34+C36</f>
        <v>#REF!</v>
      </c>
      <c r="E38" s="235" t="s">
        <v>9</v>
      </c>
      <c r="F38" s="235"/>
      <c r="G38" s="235"/>
      <c r="H38" s="235"/>
      <c r="I38" s="235"/>
      <c r="J38" s="235"/>
      <c r="K38" s="235"/>
      <c r="L38" s="235"/>
      <c r="M38" s="235"/>
      <c r="N38" s="235"/>
    </row>
    <row r="39" spans="1:14" s="238" customFormat="1" ht="18.75" customHeight="1">
      <c r="B39" s="239" t="s">
        <v>181</v>
      </c>
      <c r="D39" s="237" t="e">
        <f>C33+C35+C37</f>
        <v>#REF!</v>
      </c>
      <c r="E39" s="235" t="s">
        <v>12</v>
      </c>
    </row>
    <row r="40" spans="1:14" ht="16.5" customHeight="1"/>
    <row r="41" spans="1:14" ht="16.5" customHeight="1"/>
    <row r="42" spans="1:14" ht="16.5" customHeight="1"/>
    <row r="43" spans="1:14" ht="16.5" customHeight="1"/>
    <row r="44" spans="1:14" ht="16.5" customHeight="1"/>
  </sheetData>
  <mergeCells count="1">
    <mergeCell ref="A1:H1"/>
  </mergeCells>
  <phoneticPr fontId="3" type="noConversion"/>
  <pageMargins left="0.51181102362204722" right="0.35433070866141736" top="0.98425196850393704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H50"/>
  <sheetViews>
    <sheetView view="pageBreakPreview" topLeftCell="A13" zoomScale="85" workbookViewId="0">
      <selection activeCell="D24" sqref="D24"/>
    </sheetView>
  </sheetViews>
  <sheetFormatPr defaultRowHeight="20.100000000000001" customHeight="1"/>
  <cols>
    <col min="1" max="1" width="7.88671875" style="2" customWidth="1"/>
    <col min="2" max="2" width="6.5546875" style="2" customWidth="1"/>
    <col min="3" max="3" width="10.33203125" style="2" bestFit="1" customWidth="1"/>
    <col min="4" max="4" width="14.33203125" style="240" customWidth="1"/>
    <col min="5" max="5" width="10.5546875" style="27" customWidth="1"/>
    <col min="6" max="6" width="13.21875" style="2" customWidth="1"/>
    <col min="7" max="7" width="13.6640625" style="2" customWidth="1"/>
    <col min="8" max="8" width="14.109375" style="2" customWidth="1"/>
    <col min="9" max="16384" width="8.88671875" style="2"/>
  </cols>
  <sheetData>
    <row r="1" spans="1:8" ht="20.100000000000001" customHeight="1">
      <c r="A1" s="1" t="s">
        <v>19</v>
      </c>
    </row>
    <row r="2" spans="1:8" ht="25.5" customHeight="1">
      <c r="A2" s="285" t="s">
        <v>76</v>
      </c>
      <c r="B2" s="285"/>
      <c r="C2" s="285"/>
      <c r="D2" s="285"/>
      <c r="E2" s="285"/>
      <c r="F2" s="285"/>
      <c r="G2" s="285"/>
      <c r="H2" s="285"/>
    </row>
    <row r="3" spans="1:8" ht="21" customHeight="1">
      <c r="A3" s="3"/>
      <c r="B3" s="3"/>
      <c r="C3" s="3"/>
      <c r="D3" s="271"/>
      <c r="E3" s="28"/>
      <c r="F3" s="3"/>
      <c r="G3" s="3"/>
      <c r="H3" s="4" t="s">
        <v>131</v>
      </c>
    </row>
    <row r="4" spans="1:8" s="6" customFormat="1" ht="22.9" customHeight="1">
      <c r="A4" s="286" t="s">
        <v>77</v>
      </c>
      <c r="B4" s="286"/>
      <c r="C4" s="286"/>
      <c r="D4" s="272" t="s">
        <v>78</v>
      </c>
      <c r="E4" s="29" t="s">
        <v>79</v>
      </c>
      <c r="F4" s="5" t="s">
        <v>80</v>
      </c>
      <c r="G4" s="5" t="s">
        <v>81</v>
      </c>
      <c r="H4" s="5" t="s">
        <v>82</v>
      </c>
    </row>
    <row r="5" spans="1:8" s="6" customFormat="1" ht="22.9" customHeight="1">
      <c r="A5" s="283" t="s">
        <v>108</v>
      </c>
      <c r="B5" s="283" t="s">
        <v>109</v>
      </c>
      <c r="C5" s="26" t="s">
        <v>110</v>
      </c>
      <c r="D5" s="249">
        <v>5879752</v>
      </c>
      <c r="E5" s="30">
        <v>2.7339750361183565E-2</v>
      </c>
      <c r="F5" s="9">
        <v>5879752</v>
      </c>
      <c r="G5" s="9">
        <v>0</v>
      </c>
      <c r="H5" s="9">
        <v>0</v>
      </c>
    </row>
    <row r="6" spans="1:8" s="6" customFormat="1" ht="22.9" customHeight="1">
      <c r="A6" s="283"/>
      <c r="B6" s="283"/>
      <c r="C6" s="26" t="s">
        <v>111</v>
      </c>
      <c r="D6" s="249">
        <v>47293659</v>
      </c>
      <c r="E6" s="30">
        <v>0.21990669516791564</v>
      </c>
      <c r="F6" s="9">
        <v>47293659</v>
      </c>
      <c r="G6" s="9">
        <v>0</v>
      </c>
      <c r="H6" s="9">
        <v>0</v>
      </c>
    </row>
    <row r="7" spans="1:8" s="6" customFormat="1" ht="22.9" customHeight="1">
      <c r="A7" s="283"/>
      <c r="B7" s="283"/>
      <c r="C7" s="26" t="s">
        <v>112</v>
      </c>
      <c r="D7" s="249">
        <v>8691807</v>
      </c>
      <c r="E7" s="30">
        <v>4.0415281727458549E-2</v>
      </c>
      <c r="F7" s="9">
        <v>8691807</v>
      </c>
      <c r="G7" s="9">
        <v>0</v>
      </c>
      <c r="H7" s="9">
        <v>0</v>
      </c>
    </row>
    <row r="8" spans="1:8" s="6" customFormat="1" ht="22.9" customHeight="1">
      <c r="A8" s="283"/>
      <c r="B8" s="283"/>
      <c r="C8" s="26" t="s">
        <v>113</v>
      </c>
      <c r="D8" s="249">
        <v>5112828</v>
      </c>
      <c r="E8" s="30">
        <v>2.37736967749098E-2</v>
      </c>
      <c r="F8" s="9">
        <v>0</v>
      </c>
      <c r="G8" s="9">
        <v>0</v>
      </c>
      <c r="H8" s="9">
        <v>5112828</v>
      </c>
    </row>
    <row r="9" spans="1:8" s="6" customFormat="1" ht="22.9" customHeight="1">
      <c r="A9" s="283"/>
      <c r="B9" s="283"/>
      <c r="C9" s="26" t="s">
        <v>114</v>
      </c>
      <c r="D9" s="249">
        <v>2812055</v>
      </c>
      <c r="E9" s="30">
        <v>1.307553136627498E-2</v>
      </c>
      <c r="F9" s="9">
        <v>0</v>
      </c>
      <c r="G9" s="9">
        <v>0</v>
      </c>
      <c r="H9" s="9">
        <v>2812055</v>
      </c>
    </row>
    <row r="10" spans="1:8" s="6" customFormat="1" ht="22.9" customHeight="1">
      <c r="A10" s="283"/>
      <c r="B10" s="283"/>
      <c r="C10" s="26" t="s">
        <v>115</v>
      </c>
      <c r="D10" s="249">
        <v>3655672</v>
      </c>
      <c r="E10" s="30">
        <v>1.6998193101064235E-2</v>
      </c>
      <c r="F10" s="9">
        <v>0</v>
      </c>
      <c r="G10" s="9">
        <v>0</v>
      </c>
      <c r="H10" s="9">
        <v>3655672</v>
      </c>
    </row>
    <row r="11" spans="1:8" s="6" customFormat="1" ht="22.9" customHeight="1">
      <c r="A11" s="283"/>
      <c r="B11" s="283"/>
      <c r="C11" s="26" t="s">
        <v>116</v>
      </c>
      <c r="D11" s="249">
        <f>SUM(D5:D10)</f>
        <v>73445773</v>
      </c>
      <c r="E11" s="30">
        <v>0.34150914849880676</v>
      </c>
      <c r="F11" s="249">
        <f>SUM(F5:F10)</f>
        <v>61865218</v>
      </c>
      <c r="G11" s="249">
        <f>SUM(G5:G10)</f>
        <v>0</v>
      </c>
      <c r="H11" s="249">
        <f>SUM(H5:H10)</f>
        <v>11580555</v>
      </c>
    </row>
    <row r="12" spans="1:8" s="6" customFormat="1" ht="22.9" customHeight="1">
      <c r="A12" s="283"/>
      <c r="B12" s="283" t="s">
        <v>117</v>
      </c>
      <c r="C12" s="283"/>
      <c r="D12" s="249">
        <v>9893322</v>
      </c>
      <c r="E12" s="30">
        <v>4.600210242248403E-2</v>
      </c>
      <c r="F12" s="9">
        <v>8333393</v>
      </c>
      <c r="G12" s="9">
        <v>0</v>
      </c>
      <c r="H12" s="9">
        <v>1559929</v>
      </c>
    </row>
    <row r="13" spans="1:8" s="6" customFormat="1" ht="22.9" customHeight="1">
      <c r="A13" s="283"/>
      <c r="B13" s="283" t="s">
        <v>118</v>
      </c>
      <c r="C13" s="283"/>
      <c r="D13" s="249">
        <v>1874704</v>
      </c>
      <c r="E13" s="30">
        <v>8.7170240107256689E-3</v>
      </c>
      <c r="F13" s="9">
        <v>1579110</v>
      </c>
      <c r="G13" s="9">
        <v>0</v>
      </c>
      <c r="H13" s="9">
        <v>295594</v>
      </c>
    </row>
    <row r="14" spans="1:8" s="6" customFormat="1" ht="22.9" customHeight="1">
      <c r="A14" s="283"/>
      <c r="B14" s="283" t="s">
        <v>119</v>
      </c>
      <c r="C14" s="283"/>
      <c r="D14" s="275">
        <f>SUM(D11:D13)</f>
        <v>85213799</v>
      </c>
      <c r="E14" s="30">
        <v>0.39622827493201646</v>
      </c>
      <c r="F14" s="275">
        <f>SUM(F11:F13)</f>
        <v>71777721</v>
      </c>
      <c r="G14" s="275">
        <f>SUM(G11:G13)</f>
        <v>0</v>
      </c>
      <c r="H14" s="275">
        <f>SUM(H11:H13)</f>
        <v>13436078</v>
      </c>
    </row>
    <row r="15" spans="1:8" s="274" customFormat="1" ht="22.9" customHeight="1">
      <c r="A15" s="283" t="s">
        <v>120</v>
      </c>
      <c r="B15" s="284" t="s">
        <v>121</v>
      </c>
      <c r="C15" s="284"/>
      <c r="D15" s="275">
        <v>868666</v>
      </c>
      <c r="E15" s="276">
        <v>4.0391349137255932E-3</v>
      </c>
      <c r="F15" s="277"/>
      <c r="G15" s="277">
        <v>868666</v>
      </c>
      <c r="H15" s="277"/>
    </row>
    <row r="16" spans="1:8" s="274" customFormat="1" ht="22.9" customHeight="1">
      <c r="A16" s="283"/>
      <c r="B16" s="284" t="s">
        <v>122</v>
      </c>
      <c r="C16" s="284"/>
      <c r="D16" s="275">
        <v>2579527</v>
      </c>
      <c r="E16" s="276">
        <v>1.1994319527410809E-2</v>
      </c>
      <c r="F16" s="277"/>
      <c r="G16" s="277">
        <v>1696730</v>
      </c>
      <c r="H16" s="275">
        <v>882797</v>
      </c>
    </row>
    <row r="17" spans="1:8" s="274" customFormat="1" ht="22.9" customHeight="1">
      <c r="A17" s="283"/>
      <c r="B17" s="284" t="s">
        <v>123</v>
      </c>
      <c r="C17" s="284"/>
      <c r="D17" s="275">
        <v>34534670</v>
      </c>
      <c r="E17" s="276">
        <v>0.16057977557656433</v>
      </c>
      <c r="F17" s="277"/>
      <c r="G17" s="277">
        <v>34534670</v>
      </c>
      <c r="H17" s="277"/>
    </row>
    <row r="18" spans="1:8" s="6" customFormat="1" ht="22.9" customHeight="1">
      <c r="A18" s="283"/>
      <c r="B18" s="283" t="s">
        <v>124</v>
      </c>
      <c r="C18" s="283"/>
      <c r="D18" s="275">
        <v>13206567</v>
      </c>
      <c r="E18" s="30">
        <v>6.1408073828325575E-2</v>
      </c>
      <c r="F18" s="9"/>
      <c r="G18" s="9">
        <v>13206567</v>
      </c>
      <c r="H18" s="9"/>
    </row>
    <row r="19" spans="1:8" s="6" customFormat="1" ht="22.9" customHeight="1">
      <c r="A19" s="283"/>
      <c r="B19" s="283" t="s">
        <v>125</v>
      </c>
      <c r="C19" s="283"/>
      <c r="D19" s="275">
        <v>0</v>
      </c>
      <c r="E19" s="30">
        <v>0</v>
      </c>
      <c r="F19" s="9"/>
      <c r="G19" s="9">
        <v>0</v>
      </c>
      <c r="H19" s="9"/>
    </row>
    <row r="20" spans="1:8" s="274" customFormat="1" ht="22.9" customHeight="1">
      <c r="A20" s="283"/>
      <c r="B20" s="284" t="s">
        <v>126</v>
      </c>
      <c r="C20" s="284"/>
      <c r="D20" s="275">
        <v>14473619</v>
      </c>
      <c r="E20" s="276">
        <v>6.7299629352204529E-2</v>
      </c>
      <c r="F20" s="277"/>
      <c r="G20" s="277">
        <v>14473619</v>
      </c>
      <c r="H20" s="277"/>
    </row>
    <row r="21" spans="1:8" s="6" customFormat="1" ht="22.9" customHeight="1">
      <c r="A21" s="283"/>
      <c r="B21" s="283" t="s">
        <v>73</v>
      </c>
      <c r="C21" s="283"/>
      <c r="D21" s="249">
        <f>SUM(D15:D20)</f>
        <v>65663049</v>
      </c>
      <c r="E21" s="30">
        <v>0.30532093319823084</v>
      </c>
      <c r="F21" s="9">
        <v>0</v>
      </c>
      <c r="G21" s="249">
        <f>SUM(G15:G20)</f>
        <v>64780252</v>
      </c>
      <c r="H21" s="249">
        <f>SUM(H15:H20)</f>
        <v>882797</v>
      </c>
    </row>
    <row r="22" spans="1:8" s="6" customFormat="1" ht="22.9" customHeight="1">
      <c r="A22" s="283" t="s">
        <v>127</v>
      </c>
      <c r="B22" s="283"/>
      <c r="C22" s="283"/>
      <c r="D22" s="275">
        <v>58914869</v>
      </c>
      <c r="E22" s="30">
        <v>0.27394315457894014</v>
      </c>
      <c r="F22" s="9">
        <v>0</v>
      </c>
      <c r="G22" s="9">
        <v>58914869</v>
      </c>
      <c r="H22" s="9"/>
    </row>
    <row r="23" spans="1:8" s="6" customFormat="1" ht="22.9" customHeight="1">
      <c r="A23" s="283" t="s">
        <v>347</v>
      </c>
      <c r="B23" s="283"/>
      <c r="C23" s="283"/>
      <c r="D23" s="249">
        <v>5270671</v>
      </c>
      <c r="E23" s="30">
        <v>2.450763729081256E-2</v>
      </c>
      <c r="F23" s="9">
        <v>0</v>
      </c>
      <c r="G23" s="9">
        <v>5270671</v>
      </c>
      <c r="H23" s="9"/>
    </row>
    <row r="24" spans="1:8" s="6" customFormat="1" ht="22.9" customHeight="1">
      <c r="A24" s="283" t="s">
        <v>128</v>
      </c>
      <c r="B24" s="283"/>
      <c r="C24" s="283"/>
      <c r="D24" s="249">
        <f>D14+D21+D22+D23</f>
        <v>215062388</v>
      </c>
      <c r="E24" s="269">
        <v>1</v>
      </c>
      <c r="F24" s="249">
        <f>F14+F21+F22+F23</f>
        <v>71777721</v>
      </c>
      <c r="G24" s="249">
        <f>G14+G21+G22+G23</f>
        <v>128965792</v>
      </c>
      <c r="H24" s="249">
        <f>H14+H21+H22+H23</f>
        <v>14318875</v>
      </c>
    </row>
    <row r="25" spans="1:8" s="6" customFormat="1" ht="22.9" customHeight="1">
      <c r="A25" s="10" t="s">
        <v>83</v>
      </c>
      <c r="D25" s="11"/>
      <c r="E25" s="25"/>
    </row>
    <row r="26" spans="1:8" s="6" customFormat="1" ht="22.9" customHeight="1">
      <c r="A26" s="10" t="s">
        <v>84</v>
      </c>
      <c r="D26" s="11"/>
      <c r="E26" s="25"/>
    </row>
    <row r="27" spans="1:8" s="6" customFormat="1" ht="22.9" customHeight="1">
      <c r="A27" s="10" t="s">
        <v>85</v>
      </c>
      <c r="D27" s="11"/>
      <c r="E27" s="25"/>
    </row>
    <row r="28" spans="1:8" s="6" customFormat="1" ht="22.9" customHeight="1">
      <c r="A28" s="10" t="s">
        <v>86</v>
      </c>
      <c r="D28" s="11"/>
      <c r="E28" s="25"/>
    </row>
    <row r="29" spans="1:8" s="6" customFormat="1" ht="22.9" customHeight="1">
      <c r="A29" s="10" t="s">
        <v>87</v>
      </c>
      <c r="D29" s="11"/>
      <c r="E29" s="25"/>
    </row>
    <row r="30" spans="1:8" s="6" customFormat="1" ht="22.9" customHeight="1">
      <c r="A30" s="10" t="s">
        <v>88</v>
      </c>
      <c r="D30" s="11"/>
      <c r="E30" s="25"/>
    </row>
    <row r="31" spans="1:8" s="6" customFormat="1" ht="22.9" customHeight="1">
      <c r="A31" s="10" t="s">
        <v>89</v>
      </c>
      <c r="D31" s="11"/>
      <c r="E31" s="25"/>
    </row>
    <row r="32" spans="1:8" s="6" customFormat="1" ht="22.9" customHeight="1">
      <c r="A32" s="10" t="s">
        <v>90</v>
      </c>
      <c r="D32" s="11"/>
      <c r="E32" s="25"/>
    </row>
    <row r="33" spans="1:5" s="6" customFormat="1" ht="22.9" customHeight="1">
      <c r="A33" s="10" t="s">
        <v>91</v>
      </c>
      <c r="D33" s="11"/>
      <c r="E33" s="25"/>
    </row>
    <row r="34" spans="1:5" s="6" customFormat="1" ht="22.9" customHeight="1">
      <c r="A34" s="10" t="s">
        <v>92</v>
      </c>
      <c r="D34" s="11"/>
      <c r="E34" s="25"/>
    </row>
    <row r="35" spans="1:5" s="6" customFormat="1" ht="22.9" customHeight="1">
      <c r="A35" s="10" t="s">
        <v>93</v>
      </c>
      <c r="D35" s="11"/>
      <c r="E35" s="25"/>
    </row>
    <row r="36" spans="1:5" s="6" customFormat="1" ht="21" customHeight="1">
      <c r="A36" s="10"/>
      <c r="D36" s="11"/>
      <c r="E36" s="25"/>
    </row>
    <row r="37" spans="1:5" s="6" customFormat="1" ht="21" customHeight="1">
      <c r="A37" s="10"/>
      <c r="D37" s="11"/>
      <c r="E37" s="25"/>
    </row>
    <row r="38" spans="1:5" s="6" customFormat="1" ht="20.100000000000001" customHeight="1">
      <c r="D38" s="11"/>
      <c r="E38" s="25"/>
    </row>
    <row r="39" spans="1:5" s="6" customFormat="1" ht="20.100000000000001" customHeight="1">
      <c r="D39" s="11"/>
      <c r="E39" s="25"/>
    </row>
    <row r="40" spans="1:5" s="6" customFormat="1" ht="20.100000000000001" customHeight="1">
      <c r="D40" s="11"/>
      <c r="E40" s="25"/>
    </row>
    <row r="41" spans="1:5" s="6" customFormat="1" ht="20.100000000000001" customHeight="1">
      <c r="D41" s="11"/>
      <c r="E41" s="25"/>
    </row>
    <row r="42" spans="1:5" s="6" customFormat="1" ht="20.100000000000001" customHeight="1">
      <c r="D42" s="11"/>
      <c r="E42" s="25"/>
    </row>
    <row r="43" spans="1:5" s="6" customFormat="1" ht="20.100000000000001" customHeight="1">
      <c r="D43" s="11"/>
      <c r="E43" s="25"/>
    </row>
    <row r="44" spans="1:5" s="6" customFormat="1" ht="20.100000000000001" customHeight="1">
      <c r="D44" s="11"/>
      <c r="E44" s="25"/>
    </row>
    <row r="45" spans="1:5" s="6" customFormat="1" ht="20.100000000000001" customHeight="1">
      <c r="D45" s="11"/>
      <c r="E45" s="25"/>
    </row>
    <row r="46" spans="1:5" s="6" customFormat="1" ht="20.100000000000001" customHeight="1">
      <c r="D46" s="11"/>
      <c r="E46" s="25"/>
    </row>
    <row r="47" spans="1:5" s="6" customFormat="1" ht="20.100000000000001" customHeight="1">
      <c r="D47" s="11"/>
      <c r="E47" s="25"/>
    </row>
    <row r="48" spans="1:5" s="6" customFormat="1" ht="20.100000000000001" customHeight="1">
      <c r="D48" s="11"/>
      <c r="E48" s="25"/>
    </row>
    <row r="49" spans="4:5" s="6" customFormat="1" ht="20.100000000000001" customHeight="1">
      <c r="D49" s="11"/>
      <c r="E49" s="25"/>
    </row>
    <row r="50" spans="4:5" s="6" customFormat="1" ht="20.100000000000001" customHeight="1">
      <c r="D50" s="11"/>
      <c r="E50" s="25"/>
    </row>
  </sheetData>
  <mergeCells count="18">
    <mergeCell ref="A2:H2"/>
    <mergeCell ref="A4:C4"/>
    <mergeCell ref="A5:A14"/>
    <mergeCell ref="B5:B11"/>
    <mergeCell ref="B12:C12"/>
    <mergeCell ref="B13:C13"/>
    <mergeCell ref="B14:C14"/>
    <mergeCell ref="A22:C22"/>
    <mergeCell ref="A23:C23"/>
    <mergeCell ref="A24:C24"/>
    <mergeCell ref="A15:A21"/>
    <mergeCell ref="B15:C15"/>
    <mergeCell ref="B16:C16"/>
    <mergeCell ref="B17:C17"/>
    <mergeCell ref="B18:C18"/>
    <mergeCell ref="B19:C19"/>
    <mergeCell ref="B20:C20"/>
    <mergeCell ref="B21:C21"/>
  </mergeCells>
  <phoneticPr fontId="3" type="noConversion"/>
  <pageMargins left="0.21" right="0.24" top="0.67" bottom="0.47" header="0.5" footer="0.38"/>
  <pageSetup paperSize="9" scale="94" orientation="portrait" horizontalDpi="4294967292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>
    <tabColor rgb="FFFF0000"/>
  </sheetPr>
  <dimension ref="A1:G73"/>
  <sheetViews>
    <sheetView tabSelected="1" view="pageBreakPreview" topLeftCell="A19" workbookViewId="0">
      <selection activeCell="D75" sqref="D75"/>
    </sheetView>
  </sheetViews>
  <sheetFormatPr defaultRowHeight="20.100000000000001" customHeight="1"/>
  <cols>
    <col min="1" max="1" width="8.33203125" style="2" customWidth="1"/>
    <col min="2" max="2" width="7.88671875" style="2" customWidth="1"/>
    <col min="3" max="3" width="16.5546875" style="2" bestFit="1" customWidth="1"/>
    <col min="4" max="5" width="13.33203125" style="250" customWidth="1"/>
    <col min="6" max="6" width="12.88671875" style="250" customWidth="1"/>
    <col min="7" max="7" width="13.21875" style="250" customWidth="1"/>
    <col min="8" max="16384" width="8.88671875" style="2"/>
  </cols>
  <sheetData>
    <row r="1" spans="1:7" ht="20.100000000000001" customHeight="1">
      <c r="A1" s="1" t="s">
        <v>21</v>
      </c>
    </row>
    <row r="2" spans="1:7" ht="30" customHeight="1">
      <c r="A2" s="285" t="s">
        <v>22</v>
      </c>
      <c r="B2" s="285"/>
      <c r="C2" s="285"/>
      <c r="D2" s="285"/>
      <c r="E2" s="285"/>
      <c r="F2" s="285"/>
      <c r="G2" s="285"/>
    </row>
    <row r="3" spans="1:7" ht="21" customHeight="1">
      <c r="A3" s="3"/>
      <c r="B3" s="3"/>
      <c r="C3" s="3"/>
      <c r="D3" s="251"/>
      <c r="E3" s="251"/>
      <c r="F3" s="251"/>
      <c r="G3" s="265" t="s">
        <v>20</v>
      </c>
    </row>
    <row r="4" spans="1:7" s="6" customFormat="1" ht="21" customHeight="1">
      <c r="A4" s="5" t="s">
        <v>24</v>
      </c>
      <c r="B4" s="5" t="s">
        <v>25</v>
      </c>
      <c r="C4" s="5" t="s">
        <v>26</v>
      </c>
      <c r="D4" s="252" t="s">
        <v>78</v>
      </c>
      <c r="E4" s="252" t="s">
        <v>80</v>
      </c>
      <c r="F4" s="252" t="s">
        <v>81</v>
      </c>
      <c r="G4" s="252" t="s">
        <v>82</v>
      </c>
    </row>
    <row r="5" spans="1:7" s="6" customFormat="1" ht="21" customHeight="1">
      <c r="A5" s="297" t="s">
        <v>23</v>
      </c>
      <c r="B5" s="7" t="s">
        <v>27</v>
      </c>
      <c r="C5" s="12" t="s">
        <v>29</v>
      </c>
      <c r="D5" s="258">
        <v>3578980</v>
      </c>
      <c r="E5" s="255">
        <v>3578980</v>
      </c>
      <c r="F5" s="253">
        <v>0</v>
      </c>
      <c r="G5" s="258">
        <v>0</v>
      </c>
    </row>
    <row r="6" spans="1:7" s="6" customFormat="1" ht="21" customHeight="1">
      <c r="A6" s="298"/>
      <c r="B6" s="13" t="s">
        <v>28</v>
      </c>
      <c r="C6" s="14" t="s">
        <v>30</v>
      </c>
      <c r="D6" s="255">
        <v>1192993</v>
      </c>
      <c r="E6" s="255">
        <v>1192993</v>
      </c>
      <c r="F6" s="254">
        <v>0</v>
      </c>
      <c r="G6" s="255">
        <v>0</v>
      </c>
    </row>
    <row r="7" spans="1:7" s="6" customFormat="1" ht="21" customHeight="1">
      <c r="A7" s="298"/>
      <c r="B7" s="8"/>
      <c r="C7" s="15" t="s">
        <v>94</v>
      </c>
      <c r="D7" s="255">
        <v>0</v>
      </c>
      <c r="E7" s="255">
        <v>0</v>
      </c>
      <c r="F7" s="255">
        <v>0</v>
      </c>
      <c r="G7" s="255">
        <v>0</v>
      </c>
    </row>
    <row r="8" spans="1:7" s="6" customFormat="1" ht="21" customHeight="1">
      <c r="A8" s="298"/>
      <c r="B8" s="8"/>
      <c r="C8" s="14" t="s">
        <v>31</v>
      </c>
      <c r="D8" s="255">
        <v>0</v>
      </c>
      <c r="E8" s="255">
        <v>0</v>
      </c>
      <c r="F8" s="255">
        <v>0</v>
      </c>
      <c r="G8" s="255">
        <v>0</v>
      </c>
    </row>
    <row r="9" spans="1:7" s="6" customFormat="1" ht="21" customHeight="1">
      <c r="A9" s="298"/>
      <c r="B9" s="8"/>
      <c r="C9" s="14" t="s">
        <v>95</v>
      </c>
      <c r="D9" s="255">
        <v>0</v>
      </c>
      <c r="E9" s="255">
        <v>0</v>
      </c>
      <c r="F9" s="255">
        <v>0</v>
      </c>
      <c r="G9" s="255">
        <v>0</v>
      </c>
    </row>
    <row r="10" spans="1:7" s="6" customFormat="1" ht="21" customHeight="1">
      <c r="A10" s="298"/>
      <c r="B10" s="8"/>
      <c r="C10" s="14" t="s">
        <v>32</v>
      </c>
      <c r="D10" s="255">
        <v>85214</v>
      </c>
      <c r="E10" s="255">
        <v>85214</v>
      </c>
      <c r="F10" s="255">
        <v>0</v>
      </c>
      <c r="G10" s="255">
        <v>0</v>
      </c>
    </row>
    <row r="11" spans="1:7" s="6" customFormat="1" ht="21" customHeight="1">
      <c r="A11" s="298"/>
      <c r="B11" s="8"/>
      <c r="C11" s="14" t="s">
        <v>33</v>
      </c>
      <c r="D11" s="255">
        <v>0</v>
      </c>
      <c r="E11" s="255">
        <v>0</v>
      </c>
      <c r="F11" s="255">
        <v>0</v>
      </c>
      <c r="G11" s="255">
        <v>0</v>
      </c>
    </row>
    <row r="12" spans="1:7" s="6" customFormat="1" ht="21" customHeight="1">
      <c r="A12" s="298"/>
      <c r="B12" s="8"/>
      <c r="C12" s="15" t="s">
        <v>34</v>
      </c>
      <c r="D12" s="255">
        <v>0</v>
      </c>
      <c r="E12" s="255">
        <v>0</v>
      </c>
      <c r="F12" s="255">
        <v>0</v>
      </c>
      <c r="G12" s="255">
        <v>0</v>
      </c>
    </row>
    <row r="13" spans="1:7" s="6" customFormat="1" ht="21" customHeight="1">
      <c r="A13" s="298"/>
      <c r="B13" s="8"/>
      <c r="C13" s="14" t="s">
        <v>35</v>
      </c>
      <c r="D13" s="255">
        <v>0</v>
      </c>
      <c r="E13" s="255">
        <v>0</v>
      </c>
      <c r="F13" s="255">
        <v>0</v>
      </c>
      <c r="G13" s="255">
        <v>0</v>
      </c>
    </row>
    <row r="14" spans="1:7" s="6" customFormat="1" ht="21" customHeight="1">
      <c r="A14" s="298"/>
      <c r="B14" s="8"/>
      <c r="C14" s="15" t="s">
        <v>96</v>
      </c>
      <c r="D14" s="255">
        <v>0</v>
      </c>
      <c r="E14" s="255">
        <v>0</v>
      </c>
      <c r="F14" s="255">
        <v>0</v>
      </c>
      <c r="G14" s="255">
        <v>0</v>
      </c>
    </row>
    <row r="15" spans="1:7" s="6" customFormat="1" ht="21" customHeight="1">
      <c r="A15" s="298"/>
      <c r="B15" s="8"/>
      <c r="C15" s="15" t="s">
        <v>36</v>
      </c>
      <c r="D15" s="255">
        <v>0</v>
      </c>
      <c r="E15" s="255">
        <v>0</v>
      </c>
      <c r="F15" s="255">
        <v>0</v>
      </c>
      <c r="G15" s="255">
        <v>0</v>
      </c>
    </row>
    <row r="16" spans="1:7" s="6" customFormat="1" ht="21" customHeight="1">
      <c r="A16" s="298"/>
      <c r="B16" s="8"/>
      <c r="C16" s="14" t="s">
        <v>37</v>
      </c>
      <c r="D16" s="255">
        <v>340855</v>
      </c>
      <c r="E16" s="255">
        <v>340855</v>
      </c>
      <c r="F16" s="255">
        <v>0</v>
      </c>
      <c r="G16" s="255">
        <v>0</v>
      </c>
    </row>
    <row r="17" spans="1:7" s="6" customFormat="1" ht="21" customHeight="1">
      <c r="A17" s="298"/>
      <c r="B17" s="8"/>
      <c r="C17" s="14" t="s">
        <v>97</v>
      </c>
      <c r="D17" s="255">
        <v>681710</v>
      </c>
      <c r="E17" s="255">
        <v>681710</v>
      </c>
      <c r="F17" s="255">
        <v>0</v>
      </c>
      <c r="G17" s="255">
        <v>0</v>
      </c>
    </row>
    <row r="18" spans="1:7" s="6" customFormat="1" ht="21" customHeight="1">
      <c r="A18" s="298"/>
      <c r="B18" s="8"/>
      <c r="C18" s="14"/>
      <c r="D18" s="255"/>
      <c r="E18" s="255"/>
      <c r="F18" s="255"/>
      <c r="G18" s="255"/>
    </row>
    <row r="19" spans="1:7" s="6" customFormat="1" ht="21" customHeight="1">
      <c r="A19" s="298"/>
      <c r="B19" s="16"/>
      <c r="C19" s="17" t="s">
        <v>72</v>
      </c>
      <c r="D19" s="256">
        <f>SUM(D5:D18)</f>
        <v>5879752</v>
      </c>
      <c r="E19" s="256">
        <f>SUM(E5:E18)</f>
        <v>5879752</v>
      </c>
      <c r="F19" s="256">
        <v>0</v>
      </c>
      <c r="G19" s="256">
        <v>0</v>
      </c>
    </row>
    <row r="20" spans="1:7" s="6" customFormat="1" ht="21" customHeight="1">
      <c r="A20" s="298"/>
      <c r="B20" s="7" t="s">
        <v>38</v>
      </c>
      <c r="C20" s="12" t="s">
        <v>98</v>
      </c>
      <c r="D20" s="258">
        <v>2556414</v>
      </c>
      <c r="E20" s="258">
        <v>2556414</v>
      </c>
      <c r="F20" s="253">
        <v>0</v>
      </c>
      <c r="G20" s="258">
        <v>0</v>
      </c>
    </row>
    <row r="21" spans="1:7" s="6" customFormat="1" ht="21" customHeight="1">
      <c r="A21" s="298"/>
      <c r="B21" s="13" t="s">
        <v>39</v>
      </c>
      <c r="C21" s="14" t="s">
        <v>40</v>
      </c>
      <c r="D21" s="255">
        <v>681710</v>
      </c>
      <c r="E21" s="255">
        <v>681710</v>
      </c>
      <c r="F21" s="255">
        <v>0</v>
      </c>
      <c r="G21" s="255">
        <v>0</v>
      </c>
    </row>
    <row r="22" spans="1:7" s="6" customFormat="1" ht="21" customHeight="1">
      <c r="A22" s="298"/>
      <c r="B22" s="13"/>
      <c r="C22" s="14" t="s">
        <v>41</v>
      </c>
      <c r="D22" s="255">
        <v>8010097</v>
      </c>
      <c r="E22" s="255">
        <v>8010097</v>
      </c>
      <c r="F22" s="255">
        <v>0</v>
      </c>
      <c r="G22" s="255">
        <v>0</v>
      </c>
    </row>
    <row r="23" spans="1:7" s="6" customFormat="1" ht="21" customHeight="1">
      <c r="A23" s="298"/>
      <c r="B23" s="13"/>
      <c r="C23" s="14" t="s">
        <v>42</v>
      </c>
      <c r="D23" s="255">
        <v>2726842</v>
      </c>
      <c r="E23" s="255">
        <v>2726842</v>
      </c>
      <c r="F23" s="255">
        <v>0</v>
      </c>
      <c r="G23" s="255">
        <v>0</v>
      </c>
    </row>
    <row r="24" spans="1:7" s="6" customFormat="1" ht="21" customHeight="1">
      <c r="A24" s="298"/>
      <c r="B24" s="13"/>
      <c r="C24" s="14" t="s">
        <v>43</v>
      </c>
      <c r="D24" s="255">
        <v>18491394</v>
      </c>
      <c r="E24" s="255">
        <v>18491394</v>
      </c>
      <c r="F24" s="255">
        <v>0</v>
      </c>
      <c r="G24" s="255">
        <v>0</v>
      </c>
    </row>
    <row r="25" spans="1:7" s="6" customFormat="1" ht="21" customHeight="1">
      <c r="A25" s="298"/>
      <c r="B25" s="13"/>
      <c r="C25" s="14" t="s">
        <v>44</v>
      </c>
      <c r="D25" s="255">
        <v>0</v>
      </c>
      <c r="E25" s="255">
        <v>0</v>
      </c>
      <c r="F25" s="255">
        <v>0</v>
      </c>
      <c r="G25" s="255">
        <v>0</v>
      </c>
    </row>
    <row r="26" spans="1:7" s="6" customFormat="1" ht="21" customHeight="1">
      <c r="A26" s="298"/>
      <c r="B26" s="13"/>
      <c r="C26" s="14" t="s">
        <v>45</v>
      </c>
      <c r="D26" s="255">
        <v>681710</v>
      </c>
      <c r="E26" s="255">
        <v>681710</v>
      </c>
      <c r="F26" s="255">
        <v>0</v>
      </c>
      <c r="G26" s="255">
        <v>0</v>
      </c>
    </row>
    <row r="27" spans="1:7" s="6" customFormat="1" ht="21" customHeight="1">
      <c r="A27" s="298"/>
      <c r="B27" s="13"/>
      <c r="C27" s="14" t="s">
        <v>46</v>
      </c>
      <c r="D27" s="255">
        <v>1704276</v>
      </c>
      <c r="E27" s="255">
        <v>1704276</v>
      </c>
      <c r="F27" s="255">
        <v>0</v>
      </c>
      <c r="G27" s="255">
        <v>0</v>
      </c>
    </row>
    <row r="28" spans="1:7" s="6" customFormat="1" ht="21" customHeight="1">
      <c r="A28" s="298"/>
      <c r="B28" s="13"/>
      <c r="C28" s="14" t="s">
        <v>47</v>
      </c>
      <c r="D28" s="255">
        <v>170428</v>
      </c>
      <c r="E28" s="255">
        <v>170428</v>
      </c>
      <c r="F28" s="255">
        <v>0</v>
      </c>
      <c r="G28" s="255">
        <v>0</v>
      </c>
    </row>
    <row r="29" spans="1:7" s="6" customFormat="1" ht="21" customHeight="1">
      <c r="A29" s="298"/>
      <c r="B29" s="13"/>
      <c r="C29" s="14" t="s">
        <v>48</v>
      </c>
      <c r="D29" s="255">
        <v>681710</v>
      </c>
      <c r="E29" s="255">
        <v>681710</v>
      </c>
      <c r="F29" s="255">
        <v>0</v>
      </c>
      <c r="G29" s="255">
        <v>0</v>
      </c>
    </row>
    <row r="30" spans="1:7" s="6" customFormat="1" ht="21" customHeight="1">
      <c r="A30" s="298"/>
      <c r="B30" s="13"/>
      <c r="C30" s="14" t="s">
        <v>49</v>
      </c>
      <c r="D30" s="255">
        <v>426069</v>
      </c>
      <c r="E30" s="255">
        <v>426069</v>
      </c>
      <c r="F30" s="255">
        <v>0</v>
      </c>
      <c r="G30" s="255">
        <v>0</v>
      </c>
    </row>
    <row r="31" spans="1:7" s="6" customFormat="1" ht="21" customHeight="1">
      <c r="A31" s="298"/>
      <c r="B31" s="13"/>
      <c r="C31" s="14" t="s">
        <v>50</v>
      </c>
      <c r="D31" s="255">
        <v>1363421</v>
      </c>
      <c r="E31" s="255">
        <v>1363421</v>
      </c>
      <c r="F31" s="255">
        <v>0</v>
      </c>
      <c r="G31" s="255">
        <v>0</v>
      </c>
    </row>
    <row r="32" spans="1:7" s="6" customFormat="1" ht="21" customHeight="1">
      <c r="A32" s="298"/>
      <c r="B32" s="13"/>
      <c r="C32" s="14" t="s">
        <v>51</v>
      </c>
      <c r="D32" s="255">
        <v>1363421</v>
      </c>
      <c r="E32" s="255">
        <v>1363421</v>
      </c>
      <c r="F32" s="255">
        <v>0</v>
      </c>
      <c r="G32" s="255">
        <v>0</v>
      </c>
    </row>
    <row r="33" spans="1:7" s="6" customFormat="1" ht="21" customHeight="1">
      <c r="A33" s="298"/>
      <c r="B33" s="13"/>
      <c r="C33" s="14" t="s">
        <v>52</v>
      </c>
      <c r="D33" s="255">
        <v>511283</v>
      </c>
      <c r="E33" s="255">
        <v>511283</v>
      </c>
      <c r="F33" s="255">
        <v>0</v>
      </c>
      <c r="G33" s="255">
        <v>0</v>
      </c>
    </row>
    <row r="34" spans="1:7" s="6" customFormat="1" ht="21" customHeight="1">
      <c r="A34" s="299"/>
      <c r="B34" s="18"/>
      <c r="C34" s="19" t="s">
        <v>53</v>
      </c>
      <c r="D34" s="257">
        <v>1704276</v>
      </c>
      <c r="E34" s="257">
        <v>1704276</v>
      </c>
      <c r="F34" s="257">
        <v>0</v>
      </c>
      <c r="G34" s="257">
        <v>0</v>
      </c>
    </row>
    <row r="35" spans="1:7" s="6" customFormat="1" ht="21" customHeight="1">
      <c r="A35" s="297" t="s">
        <v>23</v>
      </c>
      <c r="B35" s="7" t="s">
        <v>38</v>
      </c>
      <c r="C35" s="12" t="s">
        <v>99</v>
      </c>
      <c r="D35" s="258">
        <v>511283</v>
      </c>
      <c r="E35" s="258">
        <v>511283</v>
      </c>
      <c r="F35" s="258">
        <v>0</v>
      </c>
      <c r="G35" s="258">
        <v>0</v>
      </c>
    </row>
    <row r="36" spans="1:7" s="6" customFormat="1" ht="21" customHeight="1">
      <c r="A36" s="298"/>
      <c r="B36" s="13" t="s">
        <v>39</v>
      </c>
      <c r="C36" s="14" t="s">
        <v>54</v>
      </c>
      <c r="D36" s="255">
        <v>1022566</v>
      </c>
      <c r="E36" s="255">
        <v>1022566</v>
      </c>
      <c r="F36" s="255">
        <v>0</v>
      </c>
      <c r="G36" s="255">
        <v>0</v>
      </c>
    </row>
    <row r="37" spans="1:7" s="6" customFormat="1" ht="21" customHeight="1">
      <c r="A37" s="298"/>
      <c r="B37" s="8"/>
      <c r="C37" s="20" t="s">
        <v>100</v>
      </c>
      <c r="D37" s="255">
        <v>852138</v>
      </c>
      <c r="E37" s="255">
        <v>852138</v>
      </c>
      <c r="F37" s="255">
        <v>0</v>
      </c>
      <c r="G37" s="255">
        <v>0</v>
      </c>
    </row>
    <row r="38" spans="1:7" s="6" customFormat="1" ht="21" customHeight="1">
      <c r="A38" s="298"/>
      <c r="B38" s="8"/>
      <c r="C38" s="14" t="s">
        <v>55</v>
      </c>
      <c r="D38" s="255">
        <v>937352</v>
      </c>
      <c r="E38" s="255">
        <v>937352</v>
      </c>
      <c r="F38" s="255">
        <v>0</v>
      </c>
      <c r="G38" s="255">
        <v>0</v>
      </c>
    </row>
    <row r="39" spans="1:7" s="6" customFormat="1" ht="21" customHeight="1">
      <c r="A39" s="298"/>
      <c r="B39" s="8"/>
      <c r="C39" s="14" t="s">
        <v>56</v>
      </c>
      <c r="D39" s="255">
        <v>255641</v>
      </c>
      <c r="E39" s="255">
        <v>255641</v>
      </c>
      <c r="F39" s="255">
        <v>0</v>
      </c>
      <c r="G39" s="255">
        <v>0</v>
      </c>
    </row>
    <row r="40" spans="1:7" s="6" customFormat="1" ht="21" customHeight="1">
      <c r="A40" s="298"/>
      <c r="B40" s="8"/>
      <c r="C40" s="14" t="s">
        <v>57</v>
      </c>
      <c r="D40" s="255">
        <v>596497</v>
      </c>
      <c r="E40" s="255">
        <v>596497</v>
      </c>
      <c r="F40" s="255">
        <v>0</v>
      </c>
      <c r="G40" s="255">
        <v>0</v>
      </c>
    </row>
    <row r="41" spans="1:7" s="6" customFormat="1" ht="21" customHeight="1">
      <c r="A41" s="298"/>
      <c r="B41" s="8"/>
      <c r="C41" s="14" t="s">
        <v>58</v>
      </c>
      <c r="D41" s="255">
        <v>1533848</v>
      </c>
      <c r="E41" s="255">
        <v>1533848</v>
      </c>
      <c r="F41" s="255">
        <v>0</v>
      </c>
      <c r="G41" s="255">
        <v>0</v>
      </c>
    </row>
    <row r="42" spans="1:7" s="6" customFormat="1" ht="21" customHeight="1">
      <c r="A42" s="298"/>
      <c r="B42" s="8"/>
      <c r="C42" s="20" t="s">
        <v>101</v>
      </c>
      <c r="D42" s="255">
        <v>511283</v>
      </c>
      <c r="E42" s="255">
        <v>511283</v>
      </c>
      <c r="F42" s="254">
        <v>0</v>
      </c>
      <c r="G42" s="255">
        <v>0</v>
      </c>
    </row>
    <row r="43" spans="1:7" s="6" customFormat="1" ht="21" customHeight="1">
      <c r="A43" s="298"/>
      <c r="B43" s="8"/>
      <c r="C43" s="14"/>
      <c r="D43" s="255"/>
      <c r="E43" s="255"/>
      <c r="F43" s="255"/>
      <c r="G43" s="255"/>
    </row>
    <row r="44" spans="1:7" s="6" customFormat="1" ht="21" customHeight="1">
      <c r="A44" s="298"/>
      <c r="B44" s="8"/>
      <c r="C44" s="21"/>
      <c r="D44" s="255"/>
      <c r="E44" s="255"/>
      <c r="F44" s="255"/>
      <c r="G44" s="255"/>
    </row>
    <row r="45" spans="1:7" s="6" customFormat="1" ht="21" customHeight="1">
      <c r="A45" s="298"/>
      <c r="B45" s="8"/>
      <c r="C45" s="15"/>
      <c r="D45" s="255"/>
      <c r="E45" s="255"/>
      <c r="F45" s="255"/>
      <c r="G45" s="255"/>
    </row>
    <row r="46" spans="1:7" s="6" customFormat="1" ht="21" customHeight="1">
      <c r="A46" s="298"/>
      <c r="B46" s="8"/>
      <c r="C46" s="14"/>
      <c r="D46" s="255"/>
      <c r="E46" s="255"/>
      <c r="F46" s="255"/>
      <c r="G46" s="255"/>
    </row>
    <row r="47" spans="1:7" s="6" customFormat="1" ht="21" customHeight="1">
      <c r="A47" s="298"/>
      <c r="B47" s="8"/>
      <c r="C47" s="14"/>
      <c r="D47" s="255"/>
      <c r="E47" s="255"/>
      <c r="F47" s="255"/>
      <c r="G47" s="255"/>
    </row>
    <row r="48" spans="1:7" s="6" customFormat="1" ht="21" customHeight="1">
      <c r="A48" s="298"/>
      <c r="B48" s="16"/>
      <c r="C48" s="17" t="s">
        <v>72</v>
      </c>
      <c r="D48" s="256">
        <f>SUM(D20:D47)</f>
        <v>47293659</v>
      </c>
      <c r="E48" s="256">
        <f>SUM(E20:E47)</f>
        <v>47293659</v>
      </c>
      <c r="F48" s="256">
        <v>0</v>
      </c>
      <c r="G48" s="256">
        <v>0</v>
      </c>
    </row>
    <row r="49" spans="1:7" s="6" customFormat="1" ht="21" customHeight="1">
      <c r="A49" s="298"/>
      <c r="B49" s="7" t="s">
        <v>59</v>
      </c>
      <c r="C49" s="12" t="s">
        <v>61</v>
      </c>
      <c r="D49" s="258">
        <v>1225545</v>
      </c>
      <c r="E49" s="258">
        <v>1225545</v>
      </c>
      <c r="F49" s="253">
        <v>0</v>
      </c>
      <c r="G49" s="258">
        <v>0</v>
      </c>
    </row>
    <row r="50" spans="1:7" s="6" customFormat="1" ht="21" customHeight="1">
      <c r="A50" s="298"/>
      <c r="B50" s="13" t="s">
        <v>60</v>
      </c>
      <c r="C50" s="14" t="s">
        <v>62</v>
      </c>
      <c r="D50" s="255">
        <v>139069</v>
      </c>
      <c r="E50" s="255">
        <v>139069</v>
      </c>
      <c r="F50" s="255">
        <v>0</v>
      </c>
      <c r="G50" s="255">
        <v>0</v>
      </c>
    </row>
    <row r="51" spans="1:7" s="6" customFormat="1" ht="21" customHeight="1">
      <c r="A51" s="298"/>
      <c r="B51" s="13"/>
      <c r="C51" s="22" t="s">
        <v>64</v>
      </c>
      <c r="D51" s="255">
        <v>1886122</v>
      </c>
      <c r="E51" s="255">
        <v>1886122</v>
      </c>
      <c r="F51" s="255">
        <v>0</v>
      </c>
      <c r="G51" s="255">
        <v>0</v>
      </c>
    </row>
    <row r="52" spans="1:7" s="6" customFormat="1" ht="21" customHeight="1">
      <c r="A52" s="298"/>
      <c r="B52" s="13"/>
      <c r="C52" s="14" t="s">
        <v>63</v>
      </c>
      <c r="D52" s="255">
        <v>1156010</v>
      </c>
      <c r="E52" s="255">
        <v>1156010</v>
      </c>
      <c r="F52" s="255">
        <v>0</v>
      </c>
      <c r="G52" s="255">
        <v>0</v>
      </c>
    </row>
    <row r="53" spans="1:7" s="6" customFormat="1" ht="21" customHeight="1">
      <c r="A53" s="298"/>
      <c r="B53" s="13"/>
      <c r="C53" s="14" t="s">
        <v>106</v>
      </c>
      <c r="D53" s="255">
        <v>1442840</v>
      </c>
      <c r="E53" s="255">
        <v>1442840</v>
      </c>
      <c r="F53" s="255">
        <v>0</v>
      </c>
      <c r="G53" s="255">
        <v>0</v>
      </c>
    </row>
    <row r="54" spans="1:7" s="6" customFormat="1" ht="21" customHeight="1">
      <c r="A54" s="298"/>
      <c r="B54" s="13"/>
      <c r="C54" s="14" t="s">
        <v>65</v>
      </c>
      <c r="D54" s="255">
        <v>990866</v>
      </c>
      <c r="E54" s="255">
        <v>990866</v>
      </c>
      <c r="F54" s="255">
        <v>0</v>
      </c>
      <c r="G54" s="255">
        <v>0</v>
      </c>
    </row>
    <row r="55" spans="1:7" s="6" customFormat="1" ht="21" customHeight="1">
      <c r="A55" s="298"/>
      <c r="B55" s="13"/>
      <c r="C55" s="14" t="s">
        <v>66</v>
      </c>
      <c r="D55" s="255">
        <v>312905</v>
      </c>
      <c r="E55" s="255">
        <v>312905</v>
      </c>
      <c r="F55" s="255">
        <v>0</v>
      </c>
      <c r="G55" s="255">
        <v>0</v>
      </c>
    </row>
    <row r="56" spans="1:7" s="6" customFormat="1" ht="21" customHeight="1">
      <c r="A56" s="298"/>
      <c r="B56" s="13"/>
      <c r="C56" s="14" t="s">
        <v>102</v>
      </c>
      <c r="D56" s="255">
        <v>243371</v>
      </c>
      <c r="E56" s="255">
        <v>243371</v>
      </c>
      <c r="F56" s="255">
        <v>0</v>
      </c>
      <c r="G56" s="255">
        <v>0</v>
      </c>
    </row>
    <row r="57" spans="1:7" s="6" customFormat="1" ht="21" customHeight="1">
      <c r="A57" s="298"/>
      <c r="B57" s="13"/>
      <c r="C57" s="14" t="s">
        <v>67</v>
      </c>
      <c r="D57" s="255">
        <v>1295079</v>
      </c>
      <c r="E57" s="255">
        <v>1295079</v>
      </c>
      <c r="F57" s="255">
        <v>0</v>
      </c>
      <c r="G57" s="255">
        <v>0</v>
      </c>
    </row>
    <row r="58" spans="1:7" s="6" customFormat="1" ht="21" customHeight="1">
      <c r="A58" s="298"/>
      <c r="B58" s="13"/>
      <c r="C58" s="14"/>
      <c r="D58" s="255"/>
      <c r="E58" s="255"/>
      <c r="F58" s="255"/>
      <c r="G58" s="255"/>
    </row>
    <row r="59" spans="1:7" s="6" customFormat="1" ht="21" customHeight="1">
      <c r="A59" s="298"/>
      <c r="B59" s="13"/>
      <c r="C59" s="14"/>
      <c r="D59" s="255"/>
      <c r="E59" s="255"/>
      <c r="F59" s="255"/>
      <c r="G59" s="255"/>
    </row>
    <row r="60" spans="1:7" s="6" customFormat="1" ht="21" customHeight="1">
      <c r="A60" s="298"/>
      <c r="B60" s="23"/>
      <c r="C60" s="24" t="s">
        <v>103</v>
      </c>
      <c r="D60" s="259">
        <f>SUM(D49:D59)</f>
        <v>8691807</v>
      </c>
      <c r="E60" s="259">
        <f>SUM(E49:E59)</f>
        <v>8691807</v>
      </c>
      <c r="F60" s="259">
        <v>0</v>
      </c>
      <c r="G60" s="259">
        <v>0</v>
      </c>
    </row>
    <row r="61" spans="1:7" s="6" customFormat="1" ht="21" customHeight="1">
      <c r="A61" s="298"/>
      <c r="B61" s="300" t="s">
        <v>68</v>
      </c>
      <c r="C61" s="301"/>
      <c r="D61" s="266">
        <v>5112828</v>
      </c>
      <c r="E61" s="267">
        <v>0</v>
      </c>
      <c r="F61" s="260">
        <v>0</v>
      </c>
      <c r="G61" s="261">
        <v>5112828</v>
      </c>
    </row>
    <row r="62" spans="1:7" s="6" customFormat="1" ht="21" customHeight="1">
      <c r="A62" s="298"/>
      <c r="B62" s="302" t="s">
        <v>69</v>
      </c>
      <c r="C62" s="303"/>
      <c r="D62" s="264">
        <v>2812055</v>
      </c>
      <c r="E62" s="261">
        <v>0</v>
      </c>
      <c r="F62" s="261">
        <v>0</v>
      </c>
      <c r="G62" s="261">
        <v>2812055</v>
      </c>
    </row>
    <row r="63" spans="1:7" s="6" customFormat="1" ht="21" customHeight="1">
      <c r="A63" s="299"/>
      <c r="B63" s="304" t="s">
        <v>70</v>
      </c>
      <c r="C63" s="305"/>
      <c r="D63" s="264">
        <v>3655672</v>
      </c>
      <c r="E63" s="261">
        <v>0</v>
      </c>
      <c r="F63" s="261">
        <v>0</v>
      </c>
      <c r="G63" s="261">
        <v>3655672</v>
      </c>
    </row>
    <row r="64" spans="1:7" s="6" customFormat="1" ht="21" customHeight="1">
      <c r="A64" s="288" t="s">
        <v>71</v>
      </c>
      <c r="B64" s="289"/>
      <c r="C64" s="290"/>
      <c r="D64" s="264">
        <v>9893322</v>
      </c>
      <c r="E64" s="268">
        <v>8333393</v>
      </c>
      <c r="F64" s="261">
        <v>0</v>
      </c>
      <c r="G64" s="261">
        <v>1559929</v>
      </c>
    </row>
    <row r="65" spans="1:7" s="6" customFormat="1" ht="21" customHeight="1">
      <c r="A65" s="291" t="s">
        <v>104</v>
      </c>
      <c r="B65" s="292"/>
      <c r="C65" s="293"/>
      <c r="D65" s="264">
        <v>1874704</v>
      </c>
      <c r="E65" s="261">
        <v>1579110</v>
      </c>
      <c r="F65" s="261">
        <v>0</v>
      </c>
      <c r="G65" s="261">
        <v>295594</v>
      </c>
    </row>
    <row r="66" spans="1:7" s="6" customFormat="1" ht="21" customHeight="1">
      <c r="A66" s="294" t="s">
        <v>105</v>
      </c>
      <c r="B66" s="295"/>
      <c r="C66" s="296"/>
      <c r="D66" s="262">
        <f>D19+D48+D60+D61+D62+D63+D64+D65</f>
        <v>85213799</v>
      </c>
      <c r="E66" s="262">
        <f>E19+E48+E60+E61+E62+E63+E64+E65</f>
        <v>71777721</v>
      </c>
      <c r="F66" s="262">
        <v>0</v>
      </c>
      <c r="G66" s="262">
        <f>G19+G48+G60+G61+G62+G63+G64+G65</f>
        <v>13436078</v>
      </c>
    </row>
    <row r="67" spans="1:7" s="6" customFormat="1" ht="21" customHeight="1">
      <c r="A67" s="287"/>
      <c r="B67" s="287"/>
      <c r="C67" s="287"/>
      <c r="D67" s="287"/>
      <c r="E67" s="287"/>
      <c r="F67" s="287"/>
      <c r="G67" s="287"/>
    </row>
    <row r="68" spans="1:7" s="6" customFormat="1" ht="20.100000000000001" customHeight="1">
      <c r="D68" s="263"/>
      <c r="E68" s="263"/>
      <c r="F68" s="263"/>
      <c r="G68" s="263"/>
    </row>
    <row r="69" spans="1:7" s="6" customFormat="1" ht="20.100000000000001" customHeight="1">
      <c r="D69" s="270"/>
      <c r="E69" s="270"/>
      <c r="F69" s="270"/>
      <c r="G69" s="270"/>
    </row>
    <row r="70" spans="1:7" s="6" customFormat="1" ht="20.100000000000001" customHeight="1">
      <c r="D70" s="270"/>
      <c r="E70" s="270"/>
      <c r="F70" s="270"/>
      <c r="G70" s="270"/>
    </row>
    <row r="71" spans="1:7" s="6" customFormat="1" ht="20.100000000000001" customHeight="1">
      <c r="D71" s="263"/>
      <c r="E71" s="273"/>
      <c r="F71" s="263"/>
      <c r="G71" s="263"/>
    </row>
    <row r="72" spans="1:7" s="6" customFormat="1" ht="20.100000000000001" customHeight="1">
      <c r="D72" s="263"/>
      <c r="E72" s="263"/>
      <c r="F72" s="263"/>
      <c r="G72" s="263"/>
    </row>
    <row r="73" spans="1:7" s="6" customFormat="1" ht="20.100000000000001" customHeight="1">
      <c r="D73" s="263"/>
      <c r="E73" s="263"/>
      <c r="F73" s="263"/>
      <c r="G73" s="263"/>
    </row>
  </sheetData>
  <mergeCells count="10">
    <mergeCell ref="A67:G67"/>
    <mergeCell ref="A64:C64"/>
    <mergeCell ref="A65:C65"/>
    <mergeCell ref="A66:C66"/>
    <mergeCell ref="A2:G2"/>
    <mergeCell ref="A5:A34"/>
    <mergeCell ref="A35:A63"/>
    <mergeCell ref="B61:C61"/>
    <mergeCell ref="B62:C62"/>
    <mergeCell ref="B63:C63"/>
  </mergeCells>
  <phoneticPr fontId="3" type="noConversion"/>
  <pageMargins left="0.24" right="0.24" top="0.62" bottom="0.63" header="0.5" footer="0.5"/>
  <pageSetup paperSize="9" orientation="portrait" horizontalDpi="4294967292" r:id="rId1"/>
  <headerFooter alignWithMargins="0"/>
  <rowBreaks count="1" manualBreakCount="1"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AL33"/>
  <sheetViews>
    <sheetView showGridLines="0" view="pageBreakPreview" topLeftCell="A4" zoomScale="85" zoomScaleNormal="120" zoomScaleSheetLayoutView="120" workbookViewId="0">
      <selection activeCell="I28" sqref="I28:N28"/>
    </sheetView>
  </sheetViews>
  <sheetFormatPr defaultRowHeight="16.5"/>
  <cols>
    <col min="1" max="1" width="3.21875" style="57" customWidth="1"/>
    <col min="2" max="7" width="2.77734375" style="57" customWidth="1"/>
    <col min="8" max="8" width="3.21875" style="57" customWidth="1"/>
    <col min="9" max="9" width="2.88671875" style="57" customWidth="1"/>
    <col min="10" max="11" width="2.77734375" style="57" customWidth="1"/>
    <col min="12" max="12" width="3.33203125" style="57" customWidth="1"/>
    <col min="13" max="29" width="2.77734375" style="57" customWidth="1"/>
    <col min="30" max="30" width="4.6640625" style="57" customWidth="1"/>
    <col min="31" max="33" width="2.77734375" style="57" customWidth="1"/>
    <col min="34" max="34" width="16.5546875" style="57" bestFit="1" customWidth="1"/>
    <col min="35" max="37" width="10.44140625" style="57" bestFit="1" customWidth="1"/>
    <col min="38" max="38" width="7.109375" style="57" bestFit="1" customWidth="1"/>
    <col min="39" max="47" width="2.77734375" style="57" customWidth="1"/>
    <col min="48" max="16384" width="8.88671875" style="57"/>
  </cols>
  <sheetData>
    <row r="1" spans="1:38" ht="65.099999999999994" customHeight="1">
      <c r="A1" s="323" t="s">
        <v>345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L1" s="57" t="s">
        <v>342</v>
      </c>
    </row>
    <row r="2" spans="1:38" ht="69.95" customHeight="1">
      <c r="A2" s="56"/>
      <c r="B2" s="56"/>
      <c r="C2" s="56"/>
      <c r="D2" s="324" t="s">
        <v>182</v>
      </c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H2" s="212" t="s">
        <v>270</v>
      </c>
      <c r="AI2" s="314" t="s">
        <v>272</v>
      </c>
      <c r="AJ2" s="315"/>
      <c r="AK2" s="315"/>
      <c r="AL2" s="316"/>
    </row>
    <row r="3" spans="1:38" ht="24" customHeight="1">
      <c r="A3" s="58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AH3" s="212" t="s">
        <v>271</v>
      </c>
      <c r="AI3" s="213" t="s">
        <v>273</v>
      </c>
      <c r="AJ3" s="213" t="s">
        <v>274</v>
      </c>
      <c r="AK3" s="213" t="s">
        <v>275</v>
      </c>
      <c r="AL3" s="213" t="s">
        <v>276</v>
      </c>
    </row>
    <row r="4" spans="1:38" ht="24" customHeight="1">
      <c r="C4" s="57" t="s">
        <v>183</v>
      </c>
      <c r="I4" s="59" t="e">
        <f>#REF!&amp;" 신축공사 정보통신 감리용역"</f>
        <v>#REF!</v>
      </c>
      <c r="AH4" s="214" t="s">
        <v>277</v>
      </c>
      <c r="AI4" s="214"/>
      <c r="AJ4" s="214"/>
      <c r="AK4" s="214"/>
      <c r="AL4" s="214">
        <v>26.62</v>
      </c>
    </row>
    <row r="5" spans="1:38" ht="24" customHeight="1">
      <c r="C5" s="57" t="s">
        <v>184</v>
      </c>
      <c r="I5" s="211" t="e">
        <f>#REF!</f>
        <v>#REF!</v>
      </c>
      <c r="AH5" s="214" t="s">
        <v>278</v>
      </c>
      <c r="AI5" s="214"/>
      <c r="AJ5" s="214"/>
      <c r="AK5" s="214"/>
      <c r="AL5" s="214">
        <v>19.97</v>
      </c>
    </row>
    <row r="6" spans="1:38" ht="24" customHeight="1">
      <c r="C6" s="57" t="s">
        <v>185</v>
      </c>
      <c r="H6" s="60"/>
      <c r="I6" s="61" t="s">
        <v>186</v>
      </c>
      <c r="J6" s="60"/>
      <c r="K6" s="60"/>
      <c r="L6" s="62"/>
      <c r="M6" s="62"/>
      <c r="N6" s="329">
        <f>'공종별 구성현황표'!G62*1000</f>
        <v>2812055000</v>
      </c>
      <c r="O6" s="329"/>
      <c r="P6" s="329"/>
      <c r="Q6" s="329"/>
      <c r="R6" s="329"/>
      <c r="S6" s="329"/>
      <c r="T6" s="63" t="s">
        <v>74</v>
      </c>
      <c r="U6" s="64"/>
      <c r="AH6" s="214" t="s">
        <v>279</v>
      </c>
      <c r="AI6" s="214"/>
      <c r="AJ6" s="214"/>
      <c r="AK6" s="214"/>
      <c r="AL6" s="214">
        <v>16.13</v>
      </c>
    </row>
    <row r="7" spans="1:38" ht="24" customHeight="1">
      <c r="D7" s="65" t="s">
        <v>187</v>
      </c>
      <c r="AH7" s="214" t="s">
        <v>280</v>
      </c>
      <c r="AI7" s="214"/>
      <c r="AJ7" s="214"/>
      <c r="AK7" s="214">
        <v>2.7</v>
      </c>
      <c r="AL7" s="214">
        <v>11.26</v>
      </c>
    </row>
    <row r="8" spans="1:38" ht="24" customHeight="1">
      <c r="N8" s="65" t="s">
        <v>188</v>
      </c>
      <c r="AH8" s="214" t="s">
        <v>281</v>
      </c>
      <c r="AI8" s="214"/>
      <c r="AJ8" s="214"/>
      <c r="AK8" s="214">
        <v>2.5299999999999998</v>
      </c>
      <c r="AL8" s="214">
        <v>10.55</v>
      </c>
    </row>
    <row r="9" spans="1:38" ht="18.75">
      <c r="C9" s="57" t="s">
        <v>189</v>
      </c>
      <c r="AH9" s="214" t="s">
        <v>282</v>
      </c>
      <c r="AI9" s="214"/>
      <c r="AJ9" s="214"/>
      <c r="AK9" s="214">
        <v>2.02</v>
      </c>
      <c r="AL9" s="214">
        <v>8.42</v>
      </c>
    </row>
    <row r="10" spans="1:38" ht="24" customHeight="1">
      <c r="D10" s="57" t="s">
        <v>190</v>
      </c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AH10" s="214" t="s">
        <v>283</v>
      </c>
      <c r="AI10" s="214"/>
      <c r="AJ10" s="214"/>
      <c r="AK10" s="214">
        <v>1.84</v>
      </c>
      <c r="AL10" s="214">
        <v>7.68</v>
      </c>
    </row>
    <row r="11" spans="1:38" ht="24" customHeight="1">
      <c r="B11" s="65"/>
      <c r="C11" s="66"/>
      <c r="D11" s="66"/>
      <c r="E11" s="65" t="s">
        <v>191</v>
      </c>
      <c r="F11" s="67"/>
      <c r="G11" s="67"/>
      <c r="H11" s="67"/>
      <c r="I11" s="65"/>
      <c r="J11" s="68"/>
      <c r="K11" s="68"/>
      <c r="L11" s="68"/>
      <c r="M11" s="69"/>
      <c r="N11" s="69"/>
      <c r="O11" s="65"/>
      <c r="P11" s="65"/>
      <c r="AH11" s="214" t="s">
        <v>284</v>
      </c>
      <c r="AI11" s="214"/>
      <c r="AJ11" s="214"/>
      <c r="AK11" s="214">
        <v>1.68</v>
      </c>
      <c r="AL11" s="214">
        <v>6.98</v>
      </c>
    </row>
    <row r="12" spans="1:38" s="70" customFormat="1" ht="24" customHeight="1">
      <c r="E12" s="70" t="s">
        <v>192</v>
      </c>
      <c r="F12" s="71"/>
      <c r="G12" s="71"/>
      <c r="H12" s="72"/>
      <c r="I12" s="73"/>
      <c r="J12" s="74"/>
      <c r="K12" s="215">
        <v>10</v>
      </c>
      <c r="L12" s="75" t="s">
        <v>193</v>
      </c>
      <c r="M12" s="75"/>
      <c r="N12" s="75"/>
      <c r="O12" s="76" t="s">
        <v>194</v>
      </c>
      <c r="P12" s="330">
        <v>1.4800000000000001E-2</v>
      </c>
      <c r="Q12" s="330"/>
      <c r="R12" s="330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H12" s="214" t="s">
        <v>285</v>
      </c>
      <c r="AI12" s="214"/>
      <c r="AJ12" s="214"/>
      <c r="AK12" s="214">
        <v>1.48</v>
      </c>
      <c r="AL12" s="214">
        <v>6.16</v>
      </c>
    </row>
    <row r="13" spans="1:38" s="70" customFormat="1" ht="24" customHeight="1">
      <c r="F13" s="77"/>
      <c r="H13" s="75"/>
      <c r="I13" s="75"/>
      <c r="J13" s="75"/>
      <c r="K13" s="215">
        <v>20</v>
      </c>
      <c r="L13" s="75" t="s">
        <v>193</v>
      </c>
      <c r="M13" s="75"/>
      <c r="N13" s="75"/>
      <c r="O13" s="76" t="s">
        <v>194</v>
      </c>
      <c r="P13" s="330">
        <v>1.3599999999999999E-2</v>
      </c>
      <c r="Q13" s="330"/>
      <c r="R13" s="330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H13" s="214" t="s">
        <v>286</v>
      </c>
      <c r="AI13" s="214"/>
      <c r="AJ13" s="214"/>
      <c r="AK13" s="214">
        <v>1.36</v>
      </c>
      <c r="AL13" s="214">
        <v>5.66</v>
      </c>
    </row>
    <row r="14" spans="1:38" s="70" customFormat="1" ht="24" customHeight="1">
      <c r="C14" s="78"/>
      <c r="D14" s="78"/>
      <c r="E14" s="70" t="s">
        <v>195</v>
      </c>
      <c r="F14" s="77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H14" s="214" t="s">
        <v>287</v>
      </c>
      <c r="AI14" s="214"/>
      <c r="AJ14" s="214"/>
      <c r="AK14" s="214">
        <v>1.31</v>
      </c>
      <c r="AL14" s="214">
        <v>5.46</v>
      </c>
    </row>
    <row r="15" spans="1:38" s="70" customFormat="1" ht="24" customHeight="1">
      <c r="D15" s="79"/>
      <c r="E15" s="77"/>
      <c r="F15" s="325" t="s">
        <v>196</v>
      </c>
      <c r="G15" s="326" t="s">
        <v>75</v>
      </c>
      <c r="H15" s="327" t="s">
        <v>197</v>
      </c>
      <c r="I15" s="328" t="s">
        <v>198</v>
      </c>
      <c r="J15" s="82"/>
      <c r="K15" s="331" t="s">
        <v>199</v>
      </c>
      <c r="L15" s="331"/>
      <c r="M15" s="331"/>
      <c r="N15" s="331"/>
      <c r="O15" s="331"/>
      <c r="P15" s="331"/>
      <c r="Q15" s="331"/>
      <c r="R15" s="331"/>
      <c r="S15" s="331"/>
      <c r="T15" s="75"/>
      <c r="U15" s="327" t="s">
        <v>200</v>
      </c>
      <c r="V15" s="75"/>
      <c r="W15" s="75"/>
      <c r="X15" s="75"/>
      <c r="Y15" s="75"/>
      <c r="Z15" s="75"/>
      <c r="AA15" s="75"/>
      <c r="AB15" s="75"/>
      <c r="AC15" s="75"/>
      <c r="AH15" s="214" t="s">
        <v>288</v>
      </c>
      <c r="AI15" s="214"/>
      <c r="AJ15" s="214"/>
      <c r="AK15" s="214">
        <v>1.29</v>
      </c>
      <c r="AL15" s="214">
        <v>5.37</v>
      </c>
    </row>
    <row r="16" spans="1:38" s="70" customFormat="1" ht="24" customHeight="1">
      <c r="F16" s="325"/>
      <c r="G16" s="326"/>
      <c r="H16" s="327"/>
      <c r="I16" s="328"/>
      <c r="J16" s="82"/>
      <c r="K16" s="332" t="s">
        <v>201</v>
      </c>
      <c r="L16" s="332"/>
      <c r="M16" s="332"/>
      <c r="N16" s="332"/>
      <c r="O16" s="332"/>
      <c r="P16" s="332"/>
      <c r="Q16" s="332"/>
      <c r="R16" s="332"/>
      <c r="S16" s="332"/>
      <c r="T16" s="75"/>
      <c r="U16" s="327"/>
      <c r="V16" s="75"/>
      <c r="W16" s="75"/>
      <c r="X16" s="75"/>
      <c r="Y16" s="75"/>
      <c r="Z16" s="75"/>
      <c r="AA16" s="75"/>
      <c r="AB16" s="75"/>
      <c r="AC16" s="75"/>
      <c r="AH16" s="214" t="s">
        <v>289</v>
      </c>
      <c r="AI16" s="214"/>
      <c r="AJ16" s="214"/>
      <c r="AK16" s="214">
        <v>1.25</v>
      </c>
      <c r="AL16" s="214">
        <v>5.22</v>
      </c>
    </row>
    <row r="17" spans="1:38" s="70" customFormat="1" ht="24" customHeight="1">
      <c r="F17" s="70" t="s">
        <v>202</v>
      </c>
      <c r="G17" s="83" t="s">
        <v>203</v>
      </c>
      <c r="H17" s="84"/>
      <c r="I17" s="84"/>
      <c r="J17" s="85"/>
      <c r="K17" s="85"/>
      <c r="L17" s="84"/>
      <c r="M17" s="84"/>
      <c r="N17" s="84" t="s">
        <v>204</v>
      </c>
      <c r="O17" s="75"/>
      <c r="P17" s="84"/>
      <c r="Q17" s="84"/>
      <c r="R17" s="84"/>
      <c r="S17" s="84"/>
      <c r="T17" s="84"/>
      <c r="U17" s="84" t="s">
        <v>205</v>
      </c>
      <c r="V17" s="75"/>
      <c r="W17" s="84"/>
      <c r="X17" s="75"/>
      <c r="Y17" s="75"/>
      <c r="Z17" s="75"/>
      <c r="AA17" s="75"/>
      <c r="AB17" s="75"/>
      <c r="AC17" s="75"/>
      <c r="AH17" s="214" t="s">
        <v>290</v>
      </c>
      <c r="AI17" s="214"/>
      <c r="AJ17" s="214"/>
      <c r="AK17" s="214">
        <v>1.22</v>
      </c>
      <c r="AL17" s="214">
        <v>5.07</v>
      </c>
    </row>
    <row r="18" spans="1:38" s="70" customFormat="1" ht="24" customHeight="1">
      <c r="D18" s="77"/>
      <c r="E18" s="77"/>
      <c r="F18" s="77"/>
      <c r="G18" s="83" t="s">
        <v>206</v>
      </c>
      <c r="H18" s="84"/>
      <c r="I18" s="85"/>
      <c r="J18" s="85"/>
      <c r="K18" s="86"/>
      <c r="L18" s="86"/>
      <c r="M18" s="86"/>
      <c r="N18" s="84" t="s">
        <v>207</v>
      </c>
      <c r="O18" s="75"/>
      <c r="P18" s="84"/>
      <c r="Q18" s="84"/>
      <c r="R18" s="84"/>
      <c r="S18" s="84"/>
      <c r="T18" s="84"/>
      <c r="U18" s="84" t="s">
        <v>208</v>
      </c>
      <c r="V18" s="75"/>
      <c r="W18" s="84"/>
      <c r="X18" s="75"/>
      <c r="Y18" s="75"/>
      <c r="Z18" s="75"/>
      <c r="AA18" s="75"/>
      <c r="AB18" s="75"/>
      <c r="AC18" s="75"/>
      <c r="AH18" s="214" t="s">
        <v>291</v>
      </c>
      <c r="AI18" s="214"/>
      <c r="AJ18" s="214"/>
      <c r="AK18" s="214">
        <v>1.21</v>
      </c>
      <c r="AL18" s="214">
        <v>5.03</v>
      </c>
    </row>
    <row r="19" spans="1:38" s="70" customFormat="1" ht="18.75">
      <c r="D19" s="77"/>
      <c r="E19" s="77"/>
      <c r="F19" s="77"/>
      <c r="H19" s="75"/>
      <c r="I19" s="76"/>
      <c r="J19" s="76"/>
      <c r="K19" s="72"/>
      <c r="L19" s="72"/>
      <c r="M19" s="72"/>
      <c r="N19" s="72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H19" s="214" t="s">
        <v>292</v>
      </c>
      <c r="AI19" s="214"/>
      <c r="AJ19" s="214"/>
      <c r="AK19" s="214">
        <v>1.18</v>
      </c>
      <c r="AL19" s="214">
        <v>4.93</v>
      </c>
    </row>
    <row r="20" spans="1:38" s="70" customFormat="1" ht="24" customHeight="1">
      <c r="F20" s="306" t="s">
        <v>196</v>
      </c>
      <c r="G20" s="306" t="s">
        <v>75</v>
      </c>
      <c r="H20" s="307">
        <f>P12</f>
        <v>1.4800000000000001E-2</v>
      </c>
      <c r="I20" s="307"/>
      <c r="J20" s="308" t="s">
        <v>198</v>
      </c>
      <c r="K20" s="87" t="s">
        <v>209</v>
      </c>
      <c r="L20" s="313">
        <f>N6/100000000</f>
        <v>28.120550000000001</v>
      </c>
      <c r="M20" s="313"/>
      <c r="N20" s="313"/>
      <c r="O20" s="313"/>
      <c r="P20" s="84" t="s">
        <v>210</v>
      </c>
      <c r="Q20" s="85" t="s">
        <v>198</v>
      </c>
      <c r="R20" s="85">
        <f>K12</f>
        <v>10</v>
      </c>
      <c r="S20" s="84" t="s">
        <v>210</v>
      </c>
      <c r="T20" s="84" t="s">
        <v>211</v>
      </c>
      <c r="U20" s="85" t="s">
        <v>212</v>
      </c>
      <c r="V20" s="87" t="s">
        <v>209</v>
      </c>
      <c r="W20" s="307">
        <f>P12</f>
        <v>1.4800000000000001E-2</v>
      </c>
      <c r="X20" s="307"/>
      <c r="Y20" s="88" t="s">
        <v>198</v>
      </c>
      <c r="Z20" s="307">
        <f>P13</f>
        <v>1.3599999999999999E-2</v>
      </c>
      <c r="AA20" s="307"/>
      <c r="AB20" s="84" t="s">
        <v>211</v>
      </c>
      <c r="AC20" s="75"/>
      <c r="AH20" s="214" t="s">
        <v>293</v>
      </c>
      <c r="AI20" s="214"/>
      <c r="AJ20" s="214"/>
      <c r="AK20" s="214">
        <v>1.1599999999999999</v>
      </c>
      <c r="AL20" s="214">
        <v>4.8499999999999996</v>
      </c>
    </row>
    <row r="21" spans="1:38" s="70" customFormat="1" ht="24" customHeight="1">
      <c r="D21" s="77"/>
      <c r="E21" s="77"/>
      <c r="F21" s="306"/>
      <c r="G21" s="306"/>
      <c r="H21" s="307"/>
      <c r="I21" s="307"/>
      <c r="J21" s="308"/>
      <c r="K21" s="89"/>
      <c r="L21" s="89"/>
      <c r="M21" s="89"/>
      <c r="N21" s="89"/>
      <c r="O21" s="89"/>
      <c r="P21" s="318">
        <f>K13</f>
        <v>20</v>
      </c>
      <c r="Q21" s="318"/>
      <c r="R21" s="90" t="s">
        <v>210</v>
      </c>
      <c r="S21" s="91" t="s">
        <v>198</v>
      </c>
      <c r="T21" s="92">
        <f>K12</f>
        <v>10</v>
      </c>
      <c r="U21" s="90" t="s">
        <v>210</v>
      </c>
      <c r="V21" s="90"/>
      <c r="W21" s="90"/>
      <c r="X21" s="90"/>
      <c r="Y21" s="90"/>
      <c r="Z21" s="90"/>
      <c r="AA21" s="90"/>
      <c r="AB21" s="90"/>
      <c r="AC21" s="75"/>
      <c r="AH21" s="214" t="s">
        <v>294</v>
      </c>
      <c r="AI21" s="214"/>
      <c r="AJ21" s="214"/>
      <c r="AK21" s="214">
        <v>1.1399999999999999</v>
      </c>
      <c r="AL21" s="214">
        <v>4.7699999999999996</v>
      </c>
    </row>
    <row r="22" spans="1:38" s="70" customFormat="1" ht="18.75">
      <c r="H22" s="75"/>
      <c r="I22" s="75"/>
      <c r="J22" s="75"/>
      <c r="K22" s="93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H22" s="214" t="s">
        <v>295</v>
      </c>
      <c r="AI22" s="214"/>
      <c r="AJ22" s="214"/>
      <c r="AK22" s="214">
        <v>1.1299999999999999</v>
      </c>
      <c r="AL22" s="214">
        <v>4.7</v>
      </c>
    </row>
    <row r="23" spans="1:38" s="70" customFormat="1" ht="24" customHeight="1">
      <c r="G23" s="94" t="s">
        <v>75</v>
      </c>
      <c r="H23" s="312">
        <f>H20-((L20-R20)*(W20-Z20)/(P21-T21))</f>
        <v>1.2625533999999997E-2</v>
      </c>
      <c r="I23" s="312"/>
      <c r="J23" s="312"/>
      <c r="K23" s="95"/>
      <c r="L23" s="75"/>
      <c r="M23" s="75"/>
      <c r="N23" s="96"/>
      <c r="O23" s="96"/>
      <c r="P23" s="96"/>
      <c r="Q23" s="96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H23" s="214" t="s">
        <v>296</v>
      </c>
      <c r="AI23" s="214"/>
      <c r="AJ23" s="214"/>
      <c r="AK23" s="214">
        <v>1.1100000000000001</v>
      </c>
      <c r="AL23" s="214">
        <v>4.6399999999999997</v>
      </c>
    </row>
    <row r="24" spans="1:38" s="70" customFormat="1">
      <c r="G24" s="80"/>
      <c r="H24" s="76"/>
      <c r="I24" s="76"/>
      <c r="J24" s="76"/>
      <c r="K24" s="75"/>
      <c r="L24" s="75"/>
      <c r="M24" s="75"/>
      <c r="N24" s="96"/>
      <c r="O24" s="96"/>
      <c r="P24" s="96"/>
      <c r="Q24" s="96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</row>
    <row r="25" spans="1:38" s="97" customFormat="1" ht="24" customHeight="1">
      <c r="C25" s="70"/>
      <c r="D25" s="70"/>
      <c r="E25" s="97" t="s">
        <v>213</v>
      </c>
      <c r="F25" s="98"/>
      <c r="G25" s="70"/>
      <c r="H25" s="75"/>
      <c r="I25" s="75"/>
      <c r="J25" s="81" t="s">
        <v>75</v>
      </c>
      <c r="K25" s="311">
        <f>N6</f>
        <v>2812055000</v>
      </c>
      <c r="L25" s="311"/>
      <c r="M25" s="311"/>
      <c r="N25" s="311"/>
      <c r="O25" s="311"/>
      <c r="P25" s="76" t="s">
        <v>214</v>
      </c>
      <c r="Q25" s="322">
        <f>H23</f>
        <v>1.2625533999999997E-2</v>
      </c>
      <c r="R25" s="322"/>
      <c r="S25" s="322"/>
      <c r="T25" s="322"/>
      <c r="U25" s="99"/>
      <c r="V25" s="81" t="s">
        <v>75</v>
      </c>
      <c r="W25" s="321">
        <f>K25*Q25</f>
        <v>35503696.01236999</v>
      </c>
      <c r="X25" s="321"/>
      <c r="Y25" s="321"/>
      <c r="Z25" s="321"/>
      <c r="AA25" s="321"/>
      <c r="AB25" s="73" t="s">
        <v>74</v>
      </c>
      <c r="AC25" s="100"/>
    </row>
    <row r="26" spans="1:38" ht="24" customHeight="1">
      <c r="E26" s="101"/>
      <c r="F26" s="101"/>
      <c r="G26" s="101"/>
      <c r="H26" s="102"/>
      <c r="I26" s="103"/>
      <c r="J26" s="310"/>
      <c r="K26" s="310"/>
      <c r="L26" s="310"/>
      <c r="M26" s="310"/>
      <c r="N26" s="310"/>
      <c r="O26" s="104"/>
      <c r="P26" s="319"/>
      <c r="Q26" s="319"/>
      <c r="R26" s="319"/>
      <c r="S26" s="104"/>
      <c r="T26" s="320"/>
      <c r="U26" s="320"/>
      <c r="V26" s="320"/>
      <c r="W26" s="320"/>
      <c r="X26" s="320"/>
      <c r="Y26" s="73"/>
      <c r="Z26" s="105"/>
      <c r="AA26" s="105"/>
      <c r="AB26" s="105"/>
      <c r="AC26" s="105"/>
    </row>
    <row r="27" spans="1:38">
      <c r="C27" s="65"/>
      <c r="D27" s="106"/>
      <c r="E27" s="101"/>
      <c r="F27" s="101"/>
      <c r="G27" s="101"/>
      <c r="H27" s="66"/>
      <c r="I27" s="107"/>
      <c r="J27" s="69"/>
      <c r="K27" s="108"/>
      <c r="L27" s="109"/>
      <c r="M27" s="109"/>
      <c r="N27" s="109"/>
      <c r="O27" s="109"/>
      <c r="P27" s="109"/>
      <c r="Q27" s="109"/>
      <c r="R27" s="109"/>
      <c r="S27" s="109"/>
    </row>
    <row r="28" spans="1:38" ht="24.95" customHeight="1">
      <c r="C28" s="57" t="s">
        <v>215</v>
      </c>
      <c r="I28" s="309">
        <f>ROUNDDOWN(W25,-6)</f>
        <v>35000000</v>
      </c>
      <c r="J28" s="309"/>
      <c r="K28" s="309"/>
      <c r="L28" s="309"/>
      <c r="M28" s="309"/>
      <c r="N28" s="309"/>
      <c r="O28" s="57" t="s">
        <v>216</v>
      </c>
      <c r="V28" s="317"/>
      <c r="W28" s="317"/>
      <c r="X28" s="317"/>
    </row>
    <row r="30" spans="1:38">
      <c r="N30" s="110"/>
    </row>
    <row r="32" spans="1:38">
      <c r="A32" s="216" t="s">
        <v>297</v>
      </c>
      <c r="B32" s="58"/>
    </row>
    <row r="33" spans="1:1">
      <c r="A33" s="217" t="s">
        <v>217</v>
      </c>
    </row>
  </sheetData>
  <dataConsolidate/>
  <mergeCells count="30">
    <mergeCell ref="A1:AE1"/>
    <mergeCell ref="D2:AA2"/>
    <mergeCell ref="F15:F16"/>
    <mergeCell ref="G15:G16"/>
    <mergeCell ref="H15:H16"/>
    <mergeCell ref="I15:I16"/>
    <mergeCell ref="N6:S6"/>
    <mergeCell ref="P12:R12"/>
    <mergeCell ref="P13:R13"/>
    <mergeCell ref="K15:S15"/>
    <mergeCell ref="K16:S16"/>
    <mergeCell ref="U15:U16"/>
    <mergeCell ref="W20:X20"/>
    <mergeCell ref="AI2:AL2"/>
    <mergeCell ref="Z20:AA20"/>
    <mergeCell ref="V28:X28"/>
    <mergeCell ref="P21:Q21"/>
    <mergeCell ref="P26:R26"/>
    <mergeCell ref="T26:X26"/>
    <mergeCell ref="W25:AA25"/>
    <mergeCell ref="Q25:T25"/>
    <mergeCell ref="F20:F21"/>
    <mergeCell ref="G20:G21"/>
    <mergeCell ref="H20:I21"/>
    <mergeCell ref="J20:J21"/>
    <mergeCell ref="I28:N28"/>
    <mergeCell ref="J26:N26"/>
    <mergeCell ref="K25:O25"/>
    <mergeCell ref="H23:J23"/>
    <mergeCell ref="L20:O20"/>
  </mergeCells>
  <phoneticPr fontId="3" type="noConversion"/>
  <pageMargins left="0.53" right="0.49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V40"/>
  <sheetViews>
    <sheetView view="pageBreakPreview" topLeftCell="A7" zoomScaleNormal="110" zoomScaleSheetLayoutView="120" workbookViewId="0">
      <selection activeCell="K26" sqref="K26"/>
    </sheetView>
  </sheetViews>
  <sheetFormatPr defaultRowHeight="13.5"/>
  <cols>
    <col min="1" max="1" width="5.5546875" style="112" customWidth="1"/>
    <col min="2" max="2" width="9.5546875" style="113" customWidth="1"/>
    <col min="3" max="3" width="3.77734375" style="114" customWidth="1"/>
    <col min="4" max="4" width="3.44140625" style="114" customWidth="1"/>
    <col min="5" max="6" width="4.21875" style="114" customWidth="1"/>
    <col min="7" max="7" width="3.6640625" style="114" customWidth="1"/>
    <col min="8" max="8" width="5.44140625" style="114" customWidth="1"/>
    <col min="9" max="9" width="8.21875" style="197" customWidth="1"/>
    <col min="10" max="10" width="5.21875" style="112" customWidth="1"/>
    <col min="11" max="11" width="14.21875" style="112" customWidth="1"/>
    <col min="12" max="12" width="9.77734375" style="112" customWidth="1"/>
    <col min="13" max="13" width="8.88671875" style="112"/>
    <col min="14" max="14" width="8.88671875" style="153"/>
    <col min="15" max="16384" width="8.88671875" style="112"/>
  </cols>
  <sheetData>
    <row r="1" spans="1:16" ht="35.1" customHeight="1">
      <c r="A1" s="352" t="s">
        <v>242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</row>
    <row r="2" spans="1:16" ht="21" customHeight="1" thickBo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16" ht="40.5" customHeight="1" thickBot="1">
      <c r="A3" s="354" t="s">
        <v>218</v>
      </c>
      <c r="B3" s="355"/>
      <c r="C3" s="356" t="e">
        <f>#REF!&amp;" 신축공사 소방 감리용역"</f>
        <v>#REF!</v>
      </c>
      <c r="D3" s="356"/>
      <c r="E3" s="356"/>
      <c r="F3" s="356"/>
      <c r="G3" s="356"/>
      <c r="H3" s="356"/>
      <c r="I3" s="356"/>
      <c r="J3" s="356"/>
      <c r="K3" s="356"/>
      <c r="L3" s="357"/>
    </row>
    <row r="4" spans="1:16" ht="8.25" customHeight="1" thickBot="1">
      <c r="B4" s="115"/>
      <c r="C4" s="115"/>
      <c r="D4" s="115"/>
      <c r="E4" s="115"/>
      <c r="F4" s="115"/>
      <c r="G4" s="115"/>
      <c r="H4" s="115"/>
      <c r="I4" s="154"/>
      <c r="J4" s="115"/>
      <c r="K4" s="115"/>
      <c r="L4" s="115"/>
    </row>
    <row r="5" spans="1:16" ht="30" customHeight="1" thickTop="1">
      <c r="A5" s="359" t="s">
        <v>219</v>
      </c>
      <c r="B5" s="360"/>
      <c r="C5" s="361" t="s">
        <v>299</v>
      </c>
      <c r="D5" s="362"/>
      <c r="E5" s="362"/>
      <c r="F5" s="362"/>
      <c r="G5" s="362"/>
      <c r="H5" s="362"/>
      <c r="I5" s="362"/>
      <c r="J5" s="362"/>
      <c r="K5" s="362"/>
      <c r="L5" s="363"/>
    </row>
    <row r="6" spans="1:16" ht="30" customHeight="1">
      <c r="A6" s="342"/>
      <c r="B6" s="343"/>
      <c r="C6" s="338" t="s">
        <v>298</v>
      </c>
      <c r="D6" s="339"/>
      <c r="E6" s="339"/>
      <c r="F6" s="358" t="e">
        <f>#REF!</f>
        <v>#REF!</v>
      </c>
      <c r="G6" s="358"/>
      <c r="H6" s="358"/>
      <c r="I6" s="358"/>
      <c r="J6" s="155"/>
      <c r="K6" s="155"/>
      <c r="L6" s="218"/>
    </row>
    <row r="7" spans="1:16" ht="21" customHeight="1">
      <c r="A7" s="340" t="s">
        <v>220</v>
      </c>
      <c r="B7" s="341"/>
      <c r="C7" s="118" t="s">
        <v>243</v>
      </c>
      <c r="D7" s="118"/>
      <c r="E7" s="118"/>
      <c r="F7" s="118"/>
      <c r="G7" s="118"/>
      <c r="H7" s="118"/>
      <c r="I7" s="156"/>
      <c r="J7" s="119"/>
      <c r="K7" s="119"/>
      <c r="L7" s="157"/>
      <c r="P7" s="220" t="s">
        <v>301</v>
      </c>
    </row>
    <row r="8" spans="1:16" ht="21" customHeight="1">
      <c r="A8" s="342"/>
      <c r="B8" s="343"/>
      <c r="C8" s="116" t="s">
        <v>244</v>
      </c>
      <c r="D8" s="158" t="s">
        <v>245</v>
      </c>
      <c r="E8" s="158"/>
      <c r="F8" s="158"/>
      <c r="G8" s="116"/>
      <c r="H8" s="116"/>
      <c r="I8" s="159"/>
      <c r="J8" s="117"/>
      <c r="K8" s="117"/>
      <c r="L8" s="160"/>
      <c r="P8" s="221" t="s">
        <v>302</v>
      </c>
    </row>
    <row r="9" spans="1:16" ht="21" customHeight="1">
      <c r="A9" s="344"/>
      <c r="B9" s="345"/>
      <c r="C9" s="116" t="s">
        <v>241</v>
      </c>
      <c r="D9" s="116"/>
      <c r="E9" s="120"/>
      <c r="F9" s="120"/>
      <c r="G9" s="120"/>
      <c r="H9" s="120"/>
      <c r="I9" s="161"/>
      <c r="J9" s="121"/>
      <c r="K9" s="121"/>
      <c r="L9" s="162"/>
      <c r="P9" s="221" t="s">
        <v>303</v>
      </c>
    </row>
    <row r="10" spans="1:16" ht="30" customHeight="1" thickBot="1">
      <c r="A10" s="336" t="s">
        <v>221</v>
      </c>
      <c r="B10" s="337"/>
      <c r="C10" s="334" t="s">
        <v>246</v>
      </c>
      <c r="D10" s="334"/>
      <c r="E10" s="334"/>
      <c r="F10" s="334"/>
      <c r="G10" s="334"/>
      <c r="H10" s="334"/>
      <c r="I10" s="334"/>
      <c r="J10" s="334"/>
      <c r="K10" s="122" t="s">
        <v>145</v>
      </c>
      <c r="L10" s="163" t="s">
        <v>18</v>
      </c>
      <c r="P10" s="221" t="s">
        <v>302</v>
      </c>
    </row>
    <row r="11" spans="1:16" ht="26.1" customHeight="1" thickTop="1">
      <c r="A11" s="164" t="s">
        <v>222</v>
      </c>
      <c r="B11" s="123"/>
      <c r="C11" s="124" t="s">
        <v>223</v>
      </c>
      <c r="D11" s="116"/>
      <c r="E11" s="116"/>
      <c r="F11" s="116"/>
      <c r="G11" s="116"/>
      <c r="H11" s="116"/>
      <c r="I11" s="159"/>
      <c r="J11" s="125"/>
      <c r="K11" s="126">
        <f>SUM(K12:K13)</f>
        <v>36545880</v>
      </c>
      <c r="L11" s="364" t="s">
        <v>247</v>
      </c>
      <c r="P11" s="221" t="s">
        <v>304</v>
      </c>
    </row>
    <row r="12" spans="1:16" ht="21.95" customHeight="1">
      <c r="A12" s="165" t="s">
        <v>248</v>
      </c>
      <c r="B12" s="129"/>
      <c r="C12" s="127"/>
      <c r="D12" s="127" t="s">
        <v>249</v>
      </c>
      <c r="E12" s="166"/>
      <c r="F12" s="166" t="s">
        <v>250</v>
      </c>
      <c r="G12" s="167"/>
      <c r="H12" s="168" t="s">
        <v>251</v>
      </c>
      <c r="I12" s="169"/>
      <c r="J12" s="170" t="s">
        <v>74</v>
      </c>
      <c r="K12" s="128">
        <f>C12*E12*G12*I12</f>
        <v>0</v>
      </c>
      <c r="L12" s="333"/>
      <c r="P12" s="221" t="s">
        <v>305</v>
      </c>
    </row>
    <row r="13" spans="1:16" ht="21.95" customHeight="1">
      <c r="A13" s="172" t="s">
        <v>252</v>
      </c>
      <c r="B13" s="173" t="s">
        <v>253</v>
      </c>
      <c r="C13" s="130">
        <v>1</v>
      </c>
      <c r="D13" s="130" t="s">
        <v>249</v>
      </c>
      <c r="E13" s="223">
        <v>24</v>
      </c>
      <c r="F13" s="174" t="s">
        <v>250</v>
      </c>
      <c r="G13" s="175">
        <v>7</v>
      </c>
      <c r="H13" s="176" t="s">
        <v>251</v>
      </c>
      <c r="I13" s="224">
        <f>V33</f>
        <v>217535</v>
      </c>
      <c r="J13" s="131" t="s">
        <v>74</v>
      </c>
      <c r="K13" s="132">
        <f>C13*E13*G13*I13</f>
        <v>36545880</v>
      </c>
      <c r="L13" s="333"/>
      <c r="P13" s="221" t="s">
        <v>306</v>
      </c>
    </row>
    <row r="14" spans="1:16" ht="26.1" customHeight="1">
      <c r="A14" s="177" t="s">
        <v>224</v>
      </c>
      <c r="B14" s="133"/>
      <c r="C14" s="134" t="s">
        <v>225</v>
      </c>
      <c r="D14" s="134"/>
      <c r="E14" s="134"/>
      <c r="F14" s="134"/>
      <c r="G14" s="134"/>
      <c r="H14" s="134"/>
      <c r="I14" s="178"/>
      <c r="J14" s="135"/>
      <c r="K14" s="136">
        <f>K15</f>
        <v>40200468</v>
      </c>
      <c r="L14" s="350" t="s">
        <v>254</v>
      </c>
      <c r="P14" s="221" t="s">
        <v>307</v>
      </c>
    </row>
    <row r="15" spans="1:16" ht="26.1" customHeight="1">
      <c r="A15" s="179"/>
      <c r="B15" s="137"/>
      <c r="C15" s="353">
        <f>K11</f>
        <v>36545880</v>
      </c>
      <c r="D15" s="353"/>
      <c r="E15" s="353"/>
      <c r="F15" s="138"/>
      <c r="G15" s="139"/>
      <c r="H15" s="139"/>
      <c r="I15" s="180"/>
      <c r="J15" s="140">
        <v>1.1000000000000001</v>
      </c>
      <c r="K15" s="141">
        <f>INT(C15*J15)</f>
        <v>40200468</v>
      </c>
      <c r="L15" s="351"/>
      <c r="P15" s="221" t="s">
        <v>308</v>
      </c>
    </row>
    <row r="16" spans="1:16" ht="26.1" customHeight="1">
      <c r="A16" s="181" t="s">
        <v>226</v>
      </c>
      <c r="B16" s="142"/>
      <c r="C16" s="143" t="s">
        <v>227</v>
      </c>
      <c r="D16" s="143"/>
      <c r="E16" s="143"/>
      <c r="F16" s="143"/>
      <c r="G16" s="143"/>
      <c r="H16" s="143"/>
      <c r="I16" s="182"/>
      <c r="J16" s="144"/>
      <c r="K16" s="126">
        <f>K17</f>
        <v>15349269</v>
      </c>
      <c r="L16" s="333" t="s">
        <v>255</v>
      </c>
      <c r="P16" s="221" t="s">
        <v>309</v>
      </c>
    </row>
    <row r="17" spans="1:22" ht="26.1" customHeight="1">
      <c r="A17" s="183"/>
      <c r="B17" s="142"/>
      <c r="C17" s="335">
        <f>(K11+K14)</f>
        <v>76746348</v>
      </c>
      <c r="D17" s="335"/>
      <c r="E17" s="335"/>
      <c r="F17" s="145"/>
      <c r="G17" s="146"/>
      <c r="H17" s="146"/>
      <c r="I17" s="182"/>
      <c r="J17" s="144">
        <v>0.2</v>
      </c>
      <c r="K17" s="147">
        <f>INT(C17*J17)</f>
        <v>15349269</v>
      </c>
      <c r="L17" s="333"/>
      <c r="P17" s="221" t="s">
        <v>310</v>
      </c>
    </row>
    <row r="18" spans="1:22" ht="26.1" customHeight="1">
      <c r="A18" s="184" t="s">
        <v>228</v>
      </c>
      <c r="B18" s="148"/>
      <c r="C18" s="149" t="s">
        <v>229</v>
      </c>
      <c r="D18" s="150"/>
      <c r="E18" s="150"/>
      <c r="F18" s="150"/>
      <c r="G18" s="150"/>
      <c r="H18" s="150"/>
      <c r="I18" s="185"/>
      <c r="J18" s="151"/>
      <c r="K18" s="136">
        <f>INT(SUM(K19:K24))</f>
        <v>3654588</v>
      </c>
      <c r="L18" s="350" t="s">
        <v>256</v>
      </c>
      <c r="P18" s="221" t="s">
        <v>311</v>
      </c>
    </row>
    <row r="19" spans="1:22" ht="26.1" customHeight="1">
      <c r="A19" s="183" t="s">
        <v>230</v>
      </c>
      <c r="B19" s="142"/>
      <c r="C19" s="143" t="s">
        <v>231</v>
      </c>
      <c r="D19" s="143"/>
      <c r="E19" s="143"/>
      <c r="F19" s="143"/>
      <c r="G19" s="143"/>
      <c r="H19" s="143"/>
      <c r="I19" s="182"/>
      <c r="J19" s="144"/>
      <c r="K19" s="147"/>
      <c r="L19" s="333"/>
      <c r="P19" s="221" t="s">
        <v>312</v>
      </c>
    </row>
    <row r="20" spans="1:22" ht="26.1" customHeight="1">
      <c r="A20" s="183"/>
      <c r="B20" s="142"/>
      <c r="C20" s="335">
        <f>SUM(K12:K12)</f>
        <v>0</v>
      </c>
      <c r="D20" s="335"/>
      <c r="E20" s="335"/>
      <c r="F20" s="145"/>
      <c r="G20" s="144"/>
      <c r="H20" s="144"/>
      <c r="I20" s="186"/>
      <c r="J20" s="144">
        <v>0.3</v>
      </c>
      <c r="K20" s="147">
        <f>INT(C20*J20)</f>
        <v>0</v>
      </c>
      <c r="L20" s="333"/>
      <c r="P20" s="221" t="s">
        <v>313</v>
      </c>
    </row>
    <row r="21" spans="1:22" ht="26.1" customHeight="1">
      <c r="A21" s="183" t="s">
        <v>232</v>
      </c>
      <c r="B21" s="142"/>
      <c r="C21" s="146" t="s">
        <v>233</v>
      </c>
      <c r="D21" s="146"/>
      <c r="E21" s="146"/>
      <c r="F21" s="146"/>
      <c r="G21" s="146"/>
      <c r="H21" s="146"/>
      <c r="I21" s="182"/>
      <c r="J21" s="144"/>
      <c r="K21" s="147"/>
      <c r="L21" s="333"/>
      <c r="P21" s="221" t="s">
        <v>314</v>
      </c>
    </row>
    <row r="22" spans="1:22" ht="26.1" customHeight="1">
      <c r="A22" s="183"/>
      <c r="B22" s="142"/>
      <c r="C22" s="349">
        <f>K13</f>
        <v>36545880</v>
      </c>
      <c r="D22" s="335"/>
      <c r="E22" s="335"/>
      <c r="F22" s="145"/>
      <c r="G22" s="144"/>
      <c r="H22" s="144"/>
      <c r="I22" s="186"/>
      <c r="J22" s="144">
        <v>0.1</v>
      </c>
      <c r="K22" s="147">
        <f>INT(C22*J22)</f>
        <v>3654588</v>
      </c>
      <c r="L22" s="333"/>
      <c r="P22" s="221" t="s">
        <v>315</v>
      </c>
    </row>
    <row r="23" spans="1:22" ht="26.1" customHeight="1">
      <c r="A23" s="183" t="s">
        <v>234</v>
      </c>
      <c r="B23" s="142"/>
      <c r="C23" s="143" t="s">
        <v>235</v>
      </c>
      <c r="D23" s="143"/>
      <c r="E23" s="143"/>
      <c r="F23" s="143"/>
      <c r="G23" s="143"/>
      <c r="H23" s="143"/>
      <c r="I23" s="182"/>
      <c r="J23" s="144"/>
      <c r="K23" s="147">
        <v>0</v>
      </c>
      <c r="L23" s="333"/>
      <c r="P23" s="221" t="s">
        <v>316</v>
      </c>
    </row>
    <row r="24" spans="1:22" ht="26.1" customHeight="1">
      <c r="A24" s="179" t="s">
        <v>236</v>
      </c>
      <c r="B24" s="137"/>
      <c r="C24" s="152" t="s">
        <v>235</v>
      </c>
      <c r="D24" s="152"/>
      <c r="E24" s="152"/>
      <c r="F24" s="152"/>
      <c r="G24" s="152"/>
      <c r="H24" s="152"/>
      <c r="I24" s="180"/>
      <c r="J24" s="140"/>
      <c r="K24" s="141">
        <v>0</v>
      </c>
      <c r="L24" s="351"/>
      <c r="P24" s="221" t="s">
        <v>317</v>
      </c>
    </row>
    <row r="25" spans="1:22" ht="26.1" customHeight="1">
      <c r="A25" s="181" t="s">
        <v>237</v>
      </c>
      <c r="B25" s="187"/>
      <c r="C25" s="188" t="s">
        <v>238</v>
      </c>
      <c r="D25" s="188"/>
      <c r="E25" s="188"/>
      <c r="F25" s="188"/>
      <c r="G25" s="188"/>
      <c r="H25" s="188"/>
      <c r="I25" s="189"/>
      <c r="J25" s="190"/>
      <c r="K25" s="191">
        <f>ROUNDDOWN(K11+K14+K16+K18,-6)</f>
        <v>95000000</v>
      </c>
      <c r="L25" s="171"/>
      <c r="P25" s="221" t="s">
        <v>318</v>
      </c>
    </row>
    <row r="26" spans="1:22" ht="30" customHeight="1" thickBot="1">
      <c r="A26" s="192" t="s">
        <v>239</v>
      </c>
      <c r="B26" s="193"/>
      <c r="C26" s="194"/>
      <c r="D26" s="194"/>
      <c r="E26" s="194"/>
      <c r="F26" s="194"/>
      <c r="G26" s="194"/>
      <c r="H26" s="194"/>
      <c r="I26" s="347"/>
      <c r="J26" s="348"/>
      <c r="K26" s="195">
        <f>K25</f>
        <v>95000000</v>
      </c>
      <c r="L26" s="196" t="s">
        <v>240</v>
      </c>
      <c r="P26" s="221" t="s">
        <v>319</v>
      </c>
    </row>
    <row r="27" spans="1:22" ht="39" customHeight="1" thickTop="1">
      <c r="A27" s="219" t="s">
        <v>300</v>
      </c>
      <c r="P27" s="221" t="s">
        <v>320</v>
      </c>
    </row>
    <row r="28" spans="1:22">
      <c r="P28" s="222"/>
    </row>
    <row r="29" spans="1:22">
      <c r="P29" s="112" t="s">
        <v>344</v>
      </c>
    </row>
    <row r="30" spans="1:22">
      <c r="P30" s="346" t="s">
        <v>321</v>
      </c>
      <c r="Q30" s="346" t="s">
        <v>322</v>
      </c>
      <c r="R30" s="346"/>
      <c r="S30" s="346"/>
      <c r="T30" s="346"/>
      <c r="U30" s="346"/>
    </row>
    <row r="31" spans="1:22">
      <c r="P31" s="346"/>
      <c r="Q31" s="225" t="s">
        <v>323</v>
      </c>
      <c r="R31" s="225" t="s">
        <v>324</v>
      </c>
      <c r="S31" s="225" t="s">
        <v>325</v>
      </c>
      <c r="T31" s="225" t="s">
        <v>326</v>
      </c>
      <c r="U31" s="225" t="s">
        <v>327</v>
      </c>
      <c r="V31" s="225" t="s">
        <v>129</v>
      </c>
    </row>
    <row r="32" spans="1:22">
      <c r="P32" s="226" t="s">
        <v>328</v>
      </c>
      <c r="Q32" s="227">
        <v>197001</v>
      </c>
      <c r="R32" s="227">
        <v>205071</v>
      </c>
      <c r="S32" s="227">
        <v>230020</v>
      </c>
      <c r="T32" s="227">
        <v>252897</v>
      </c>
      <c r="U32" s="227">
        <v>263837</v>
      </c>
      <c r="V32" s="248">
        <v>270525</v>
      </c>
    </row>
    <row r="33" spans="16:22">
      <c r="P33" s="226" t="s">
        <v>329</v>
      </c>
      <c r="Q33" s="227">
        <v>162903</v>
      </c>
      <c r="R33" s="227">
        <v>158335</v>
      </c>
      <c r="S33" s="227">
        <v>177096</v>
      </c>
      <c r="T33" s="227">
        <v>196337</v>
      </c>
      <c r="U33" s="227">
        <v>204020</v>
      </c>
      <c r="V33" s="248">
        <v>217535</v>
      </c>
    </row>
    <row r="34" spans="16:22">
      <c r="P34" s="226" t="s">
        <v>330</v>
      </c>
      <c r="Q34" s="227">
        <v>131950</v>
      </c>
      <c r="R34" s="227">
        <v>132936</v>
      </c>
      <c r="S34" s="227">
        <v>148224</v>
      </c>
      <c r="T34" s="227">
        <v>164387</v>
      </c>
      <c r="U34" s="227">
        <v>173417</v>
      </c>
      <c r="V34" s="248">
        <v>180902</v>
      </c>
    </row>
    <row r="35" spans="16:22">
      <c r="P35" s="226" t="s">
        <v>331</v>
      </c>
      <c r="Q35" s="227">
        <v>108828</v>
      </c>
      <c r="R35" s="227">
        <v>111576</v>
      </c>
      <c r="S35" s="227">
        <v>123952</v>
      </c>
      <c r="T35" s="227">
        <v>139232</v>
      </c>
      <c r="U35" s="227">
        <v>146066</v>
      </c>
      <c r="V35" s="248">
        <v>150970</v>
      </c>
    </row>
    <row r="36" spans="16:22">
      <c r="P36" s="226" t="s">
        <v>332</v>
      </c>
      <c r="Q36" s="227">
        <v>79518</v>
      </c>
      <c r="R36" s="227">
        <v>81676</v>
      </c>
      <c r="S36" s="227">
        <v>89202</v>
      </c>
      <c r="T36" s="227">
        <v>98848</v>
      </c>
      <c r="U36" s="227">
        <v>104129</v>
      </c>
      <c r="V36" s="248">
        <v>108805</v>
      </c>
    </row>
    <row r="37" spans="16:22">
      <c r="P37" s="226" t="s">
        <v>333</v>
      </c>
      <c r="Q37" s="227">
        <v>98387</v>
      </c>
      <c r="R37" s="227">
        <v>95221</v>
      </c>
      <c r="S37" s="227">
        <v>107740</v>
      </c>
      <c r="T37" s="227">
        <v>110769</v>
      </c>
      <c r="U37" s="227">
        <v>114757</v>
      </c>
      <c r="V37" s="248">
        <v>125348</v>
      </c>
    </row>
    <row r="38" spans="16:22">
      <c r="P38" s="226" t="s">
        <v>334</v>
      </c>
      <c r="Q38" s="227">
        <v>79392</v>
      </c>
      <c r="R38" s="227">
        <v>81499</v>
      </c>
      <c r="S38" s="227">
        <v>96271</v>
      </c>
      <c r="T38" s="227">
        <v>97468</v>
      </c>
      <c r="U38" s="227">
        <v>100340</v>
      </c>
      <c r="V38" s="248">
        <v>107821</v>
      </c>
    </row>
    <row r="39" spans="16:22">
      <c r="P39" s="226" t="s">
        <v>335</v>
      </c>
      <c r="Q39" s="227">
        <v>65063</v>
      </c>
      <c r="R39" s="227">
        <v>60759</v>
      </c>
      <c r="S39" s="227">
        <v>72051</v>
      </c>
      <c r="T39" s="227">
        <v>73229</v>
      </c>
      <c r="U39" s="227">
        <v>77785</v>
      </c>
      <c r="V39" s="248">
        <v>85543</v>
      </c>
    </row>
    <row r="40" spans="16:22">
      <c r="P40" s="114" t="s">
        <v>343</v>
      </c>
    </row>
  </sheetData>
  <mergeCells count="21">
    <mergeCell ref="A1:L1"/>
    <mergeCell ref="C15:E15"/>
    <mergeCell ref="A3:B3"/>
    <mergeCell ref="C3:L3"/>
    <mergeCell ref="L14:L15"/>
    <mergeCell ref="F6:I6"/>
    <mergeCell ref="A5:B6"/>
    <mergeCell ref="C5:L5"/>
    <mergeCell ref="L11:L13"/>
    <mergeCell ref="Q30:U30"/>
    <mergeCell ref="I26:J26"/>
    <mergeCell ref="P30:P31"/>
    <mergeCell ref="C22:E22"/>
    <mergeCell ref="L18:L24"/>
    <mergeCell ref="C20:E20"/>
    <mergeCell ref="L16:L17"/>
    <mergeCell ref="C10:J10"/>
    <mergeCell ref="C17:E17"/>
    <mergeCell ref="A10:B10"/>
    <mergeCell ref="C6:E6"/>
    <mergeCell ref="A7:B9"/>
  </mergeCells>
  <phoneticPr fontId="3" type="noConversion"/>
  <pageMargins left="0.65" right="0.62" top="1.01" bottom="0.47" header="0.5" footer="0.41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2"/>
  <sheetViews>
    <sheetView view="pageBreakPreview" workbookViewId="0">
      <selection activeCell="L21" sqref="L21"/>
    </sheetView>
  </sheetViews>
  <sheetFormatPr defaultRowHeight="13.5"/>
  <cols>
    <col min="1" max="1" width="17.88671875" style="234" customWidth="1"/>
    <col min="2" max="2" width="13.5546875" style="234" customWidth="1"/>
    <col min="3" max="4" width="18.88671875" style="234" customWidth="1"/>
    <col min="5" max="16384" width="8.88671875" style="234"/>
  </cols>
  <sheetData>
    <row r="1" spans="1:4" s="228" customFormat="1" ht="25.5">
      <c r="A1" s="365" t="s">
        <v>0</v>
      </c>
      <c r="B1" s="365"/>
      <c r="C1" s="365"/>
      <c r="D1" s="365"/>
    </row>
    <row r="2" spans="1:4" s="230" customFormat="1" ht="16.5" customHeight="1">
      <c r="A2" s="229"/>
      <c r="B2" s="229"/>
      <c r="C2" s="229"/>
      <c r="D2" s="229"/>
    </row>
    <row r="3" spans="1:4" s="230" customFormat="1" ht="15.75" customHeight="1">
      <c r="A3" s="229"/>
      <c r="B3" s="229"/>
      <c r="C3" s="229"/>
      <c r="D3" s="229"/>
    </row>
    <row r="4" spans="1:4" s="230" customFormat="1" ht="15.75" customHeight="1">
      <c r="A4" s="231" t="s">
        <v>1</v>
      </c>
      <c r="B4" s="229"/>
      <c r="C4" s="229"/>
      <c r="D4" s="229"/>
    </row>
    <row r="5" spans="1:4" s="230" customFormat="1" ht="15.75" customHeight="1">
      <c r="A5" s="229" t="e">
        <f>'1개요(건축)'!A5</f>
        <v>#REF!</v>
      </c>
      <c r="B5" s="229"/>
      <c r="C5" s="229"/>
      <c r="D5" s="229"/>
    </row>
    <row r="6" spans="1:4" s="230" customFormat="1" ht="15.75" customHeight="1">
      <c r="A6" s="229"/>
      <c r="B6" s="229"/>
      <c r="C6" s="229"/>
      <c r="D6" s="229"/>
    </row>
    <row r="7" spans="1:4" s="230" customFormat="1" ht="15.75" customHeight="1">
      <c r="A7" s="231" t="s">
        <v>2</v>
      </c>
      <c r="B7" s="229"/>
      <c r="C7" s="229"/>
      <c r="D7" s="229"/>
    </row>
    <row r="8" spans="1:4" s="230" customFormat="1" ht="15.75" customHeight="1">
      <c r="A8" s="229" t="e">
        <f>'1개요(건축)'!A8</f>
        <v>#REF!</v>
      </c>
      <c r="B8" s="229"/>
      <c r="C8" s="229"/>
      <c r="D8" s="229"/>
    </row>
    <row r="9" spans="1:4" s="230" customFormat="1" ht="15.75" customHeight="1">
      <c r="A9" s="229"/>
      <c r="B9" s="229"/>
      <c r="C9" s="229"/>
      <c r="D9" s="229"/>
    </row>
    <row r="10" spans="1:4" s="230" customFormat="1" ht="15.75" customHeight="1">
      <c r="A10" s="231" t="s">
        <v>3</v>
      </c>
      <c r="B10" s="229"/>
      <c r="C10" s="229"/>
      <c r="D10" s="229"/>
    </row>
    <row r="11" spans="1:4" s="230" customFormat="1" ht="15.75" customHeight="1">
      <c r="A11" s="229" t="e">
        <f>'1개요(건축)'!A11</f>
        <v>#REF!</v>
      </c>
      <c r="B11" s="229"/>
      <c r="C11" s="229"/>
      <c r="D11" s="229"/>
    </row>
    <row r="12" spans="1:4" s="230" customFormat="1" ht="15.75" customHeight="1">
      <c r="A12" s="229" t="e">
        <f>'1개요(건축)'!A12</f>
        <v>#REF!</v>
      </c>
      <c r="B12" s="229"/>
      <c r="C12" s="229"/>
      <c r="D12" s="229"/>
    </row>
    <row r="13" spans="1:4" s="230" customFormat="1" ht="15.75" customHeight="1">
      <c r="A13" s="229"/>
      <c r="B13" s="229"/>
      <c r="C13" s="229"/>
      <c r="D13" s="229"/>
    </row>
    <row r="14" spans="1:4" s="230" customFormat="1" ht="15.75" customHeight="1">
      <c r="A14" s="231" t="s">
        <v>4</v>
      </c>
      <c r="B14" s="229"/>
      <c r="C14" s="229"/>
      <c r="D14" s="229"/>
    </row>
    <row r="15" spans="1:4" s="230" customFormat="1" ht="15.75" customHeight="1">
      <c r="A15" s="229" t="e">
        <f>'1개요(건축)'!A15</f>
        <v>#REF!</v>
      </c>
      <c r="B15" s="229"/>
      <c r="C15" s="229"/>
      <c r="D15" s="229"/>
    </row>
    <row r="16" spans="1:4" s="230" customFormat="1" ht="15.75" customHeight="1">
      <c r="A16" s="229" t="e">
        <f>'1개요(건축)'!A16</f>
        <v>#REF!</v>
      </c>
      <c r="B16" s="229"/>
      <c r="C16" s="229"/>
      <c r="D16" s="229"/>
    </row>
    <row r="17" spans="1:4" s="230" customFormat="1" ht="15.75" customHeight="1">
      <c r="A17" s="229"/>
      <c r="B17" s="229"/>
      <c r="C17" s="229"/>
      <c r="D17" s="229"/>
    </row>
    <row r="18" spans="1:4" s="230" customFormat="1" ht="15.75" customHeight="1">
      <c r="A18" s="229"/>
      <c r="B18" s="229"/>
      <c r="C18" s="229"/>
      <c r="D18" s="229"/>
    </row>
    <row r="19" spans="1:4" s="230" customFormat="1" ht="15.75" customHeight="1">
      <c r="A19" s="229"/>
      <c r="B19" s="229"/>
      <c r="C19" s="229"/>
      <c r="D19" s="229"/>
    </row>
    <row r="20" spans="1:4" s="230" customFormat="1" ht="15.75" customHeight="1">
      <c r="A20" s="231" t="s">
        <v>5</v>
      </c>
      <c r="B20" s="229"/>
      <c r="C20" s="229"/>
      <c r="D20" s="229"/>
    </row>
    <row r="21" spans="1:4" s="230" customFormat="1" ht="15.75" customHeight="1">
      <c r="A21" s="229" t="e">
        <f>'1개요(건축)'!A20</f>
        <v>#REF!</v>
      </c>
      <c r="B21" s="229"/>
      <c r="C21" s="229"/>
      <c r="D21" s="229"/>
    </row>
    <row r="22" spans="1:4" s="230" customFormat="1" ht="15.75" customHeight="1">
      <c r="A22" s="229" t="e">
        <f>'1개요(건축)'!A21</f>
        <v>#REF!</v>
      </c>
      <c r="B22" s="229"/>
      <c r="C22" s="229"/>
      <c r="D22" s="229"/>
    </row>
    <row r="23" spans="1:4" s="230" customFormat="1" ht="15.75" customHeight="1">
      <c r="A23" s="229"/>
      <c r="B23" s="229"/>
      <c r="C23" s="229"/>
      <c r="D23" s="229"/>
    </row>
    <row r="24" spans="1:4" s="230" customFormat="1" ht="15.75" customHeight="1">
      <c r="A24" s="231" t="e">
        <f>'1개요(건축)'!A23</f>
        <v>#REF!</v>
      </c>
      <c r="B24" s="229"/>
      <c r="C24" s="229"/>
      <c r="D24" s="229"/>
    </row>
    <row r="25" spans="1:4" s="230" customFormat="1" ht="15.75" customHeight="1">
      <c r="A25" s="231" t="e">
        <f>'1개요(건축)'!A24</f>
        <v>#REF!</v>
      </c>
      <c r="B25" s="229"/>
      <c r="C25" s="229"/>
      <c r="D25" s="229"/>
    </row>
    <row r="26" spans="1:4" s="230" customFormat="1" ht="15.75" customHeight="1">
      <c r="A26" s="229"/>
      <c r="B26" s="229"/>
      <c r="C26" s="229"/>
      <c r="D26" s="229"/>
    </row>
    <row r="27" spans="1:4" s="230" customFormat="1" ht="15.75" customHeight="1">
      <c r="A27" s="231" t="s">
        <v>6</v>
      </c>
      <c r="B27" s="229"/>
      <c r="C27" s="229"/>
      <c r="D27" s="229"/>
    </row>
    <row r="28" spans="1:4" s="230" customFormat="1" ht="15.75" customHeight="1">
      <c r="A28" s="229" t="str">
        <f>'1개요(건축)'!A27</f>
        <v xml:space="preserve">  - 대지면적 : </v>
      </c>
      <c r="B28" s="201" t="e">
        <f>'1개요(건축)'!B27</f>
        <v>#REF!</v>
      </c>
      <c r="C28" s="241" t="e">
        <f>'1개요(건축)'!C27</f>
        <v>#REF!</v>
      </c>
      <c r="D28" s="229"/>
    </row>
    <row r="29" spans="1:4" s="230" customFormat="1" ht="15.75" customHeight="1">
      <c r="A29" s="229" t="str">
        <f>'1개요(건축)'!A28</f>
        <v xml:space="preserve">  - 연 면  적 : </v>
      </c>
      <c r="B29" s="201" t="e">
        <f>'1개요(건축)'!B28</f>
        <v>#REF!</v>
      </c>
      <c r="C29" s="241" t="e">
        <f>'1개요(건축)'!C28</f>
        <v>#REF!</v>
      </c>
      <c r="D29" s="242" t="e">
        <f>"/용적율 "&amp;#REF!*100&amp;" %"</f>
        <v>#REF!</v>
      </c>
    </row>
    <row r="30" spans="1:4" s="230" customFormat="1" ht="15.75" customHeight="1">
      <c r="A30" s="242" t="s">
        <v>17</v>
      </c>
      <c r="B30" s="201" t="e">
        <f>'1개요(건축)'!B29</f>
        <v>#REF!</v>
      </c>
      <c r="C30" s="241" t="e">
        <f>'1개요(건축)'!C29</f>
        <v>#REF!</v>
      </c>
      <c r="D30" s="242" t="e">
        <f>"/건폐율 "&amp;#REF!*100&amp;" %"</f>
        <v>#REF!</v>
      </c>
    </row>
    <row r="31" spans="1:4" s="230" customFormat="1" ht="15.75" customHeight="1">
      <c r="A31" s="229" t="str">
        <f>'1개요(건축)'!A30</f>
        <v xml:space="preserve">  - 사업규모 : </v>
      </c>
      <c r="B31" s="201" t="e">
        <f>'1개요(건축)'!B30</f>
        <v>#REF!</v>
      </c>
      <c r="C31" s="229"/>
      <c r="D31" s="229"/>
    </row>
    <row r="32" spans="1:4" s="230" customFormat="1" ht="15.75" customHeight="1">
      <c r="A32" s="232" t="s">
        <v>346</v>
      </c>
      <c r="B32" s="229"/>
      <c r="C32" s="229"/>
      <c r="D32" s="229"/>
    </row>
    <row r="33" s="233" customFormat="1"/>
    <row r="34" s="233" customFormat="1"/>
    <row r="35" s="233" customFormat="1"/>
    <row r="36" s="233" customFormat="1"/>
    <row r="37" s="233" customFormat="1"/>
    <row r="38" s="233" customFormat="1"/>
    <row r="39" s="233" customFormat="1"/>
    <row r="40" s="233" customFormat="1"/>
    <row r="41" s="233" customFormat="1"/>
    <row r="42" s="233" customFormat="1"/>
  </sheetData>
  <mergeCells count="1">
    <mergeCell ref="A1:D1"/>
  </mergeCells>
  <phoneticPr fontId="3" type="noConversion"/>
  <pageMargins left="0.75" right="0.75" top="1.1299999999999999" bottom="0.74" header="0.5" footer="0.3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1개요(건축)</vt:lpstr>
      <vt:lpstr>2산출서(건축)</vt:lpstr>
      <vt:lpstr>총사업비 산출총괄표</vt:lpstr>
      <vt:lpstr>공종별 구성현황표</vt:lpstr>
      <vt:lpstr>6정보통신</vt:lpstr>
      <vt:lpstr> 7소방</vt:lpstr>
      <vt:lpstr>1개요(전기)</vt:lpstr>
      <vt:lpstr>' 7소방'!Print_Area</vt:lpstr>
      <vt:lpstr>'1개요(전기)'!Print_Area</vt:lpstr>
      <vt:lpstr>'2산출서(건축)'!Print_Area</vt:lpstr>
      <vt:lpstr>'6정보통신'!Print_Area</vt:lpstr>
      <vt:lpstr>'공종별 구성현황표'!Print_Area</vt:lpstr>
      <vt:lpstr>'총사업비 산출총괄표'!Print_Area</vt:lpstr>
      <vt:lpstr>'공종별 구성현황표'!Print_Titles</vt:lpstr>
    </vt:vector>
  </TitlesOfParts>
  <Company>화성산업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my</cp:lastModifiedBy>
  <cp:lastPrinted>2016-07-16T23:59:03Z</cp:lastPrinted>
  <dcterms:created xsi:type="dcterms:W3CDTF">2001-10-04T02:09:21Z</dcterms:created>
  <dcterms:modified xsi:type="dcterms:W3CDTF">2016-07-19T00:45:31Z</dcterms:modified>
</cp:coreProperties>
</file>