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1130" yWindow="0" windowWidth="16380" windowHeight="9720" tabRatio="972" firstSheet="3" activeTab="3"/>
  </bookViews>
  <sheets>
    <sheet name="1개요(건축)" sheetId="18" state="hidden" r:id="rId1"/>
    <sheet name="2산출서(건축)" sheetId="19" state="hidden" r:id="rId2"/>
    <sheet name="1.건축감리비산출금액" sheetId="7" state="hidden" r:id="rId3"/>
    <sheet name="2.산출총괄표(건축)" sheetId="12" r:id="rId4"/>
    <sheet name="3.구성현황표(건축)" sheetId="11" r:id="rId5"/>
    <sheet name="6정보통신" sheetId="20" state="hidden" r:id="rId6"/>
    <sheet name=" 7소방" sheetId="22" state="hidden" r:id="rId7"/>
    <sheet name="4.공정표(건축)" sheetId="39" r:id="rId8"/>
    <sheet name="1.전기감리비산출금액" sheetId="44" state="hidden" r:id="rId9"/>
    <sheet name="2.산출총괄표(전기)" sheetId="45" r:id="rId10"/>
    <sheet name="3.구성현황표(전기)" sheetId="46" r:id="rId11"/>
    <sheet name="4.공정표(전기)" sheetId="47" r:id="rId12"/>
    <sheet name="1개요(전기)" sheetId="25" state="hidden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_1행열변환_1_.행열변환_1" localSheetId="11">[1]!'[행열변환_1].행열변환_1'</definedName>
    <definedName name="_1행열변환_1_.행열변환_1">[1]!'[행열변환_1].행열변환_1'</definedName>
    <definedName name="_2행열변환_2_.행열변환_2" localSheetId="11">[1]!'[행열변환_2].행열변환_2'</definedName>
    <definedName name="_2행열변환_2_.행열변환_2">[1]!'[행열변환_2].행열변환_2'</definedName>
    <definedName name="_3행열변환_3_.행열변환_3" localSheetId="11">[1]!'[행열변환_3].행열변환_3'</definedName>
    <definedName name="_3행열변환_3_.행열변환_3">[1]!'[행열변환_3].행열변환_3'</definedName>
    <definedName name="_4행열변환_4_.행열변환_4" localSheetId="11">[1]!'[행열변환_4].행열변환_4'</definedName>
    <definedName name="_4행열변환_4_.행열변환_4">[1]!'[행열변환_4].행열변환_4'</definedName>
    <definedName name="\a">#N/A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CODESUM3" localSheetId="11">[2]!CODESUM3</definedName>
    <definedName name="CODESUM3">[2]!CODESUM3</definedName>
    <definedName name="_xlnm.Database" localSheetId="8">#REF!</definedName>
    <definedName name="_xlnm.Database" localSheetId="9">#REF!</definedName>
    <definedName name="_xlnm.Database" localSheetId="10">#REF!</definedName>
    <definedName name="_xlnm.Database" localSheetId="7">#REF!</definedName>
    <definedName name="_xlnm.Database" localSheetId="11">#REF!</definedName>
    <definedName name="_xlnm.Database">#REF!</definedName>
    <definedName name="Macro1" localSheetId="11">[3]!Macro1</definedName>
    <definedName name="Macro1">[3]!Macro1</definedName>
    <definedName name="MACRO3" localSheetId="11">[4]!MACRO3</definedName>
    <definedName name="MACRO3">[4]!MACRO3</definedName>
    <definedName name="_xlnm.Print_Area" localSheetId="6">' 7소방'!$A$1:$L$27</definedName>
    <definedName name="_xlnm.Print_Area" localSheetId="2">'1.건축감리비산출금액'!$A$1:$F$45</definedName>
    <definedName name="_xlnm.Print_Area" localSheetId="8">'1.전기감리비산출금액'!$A$1:$H$32</definedName>
    <definedName name="_xlnm.Print_Area" localSheetId="12">'1개요(전기)'!$A$1:$D$32</definedName>
    <definedName name="_xlnm.Print_Area" localSheetId="3">'2.산출총괄표(건축)'!$A$1:$H$35</definedName>
    <definedName name="_xlnm.Print_Area" localSheetId="9">'2.산출총괄표(전기)'!$A$1:$H$35</definedName>
    <definedName name="_xlnm.Print_Area" localSheetId="1">'2산출서(건축)'!$A$1:$H$39</definedName>
    <definedName name="_xlnm.Print_Area" localSheetId="4">'3.구성현황표(건축)'!$A$1:$G$67</definedName>
    <definedName name="_xlnm.Print_Area" localSheetId="10">'3.구성현황표(전기)'!$A$1:$G$71</definedName>
    <definedName name="_xlnm.Print_Area" localSheetId="11">[5]Sheet2!#REF!</definedName>
    <definedName name="_xlnm.Print_Area" localSheetId="5">'6정보통신'!$A$2:$AD$34</definedName>
    <definedName name="_xlnm.Print_Area">[5]Sheet2!#REF!</definedName>
    <definedName name="PRINT_AREA_MI" localSheetId="8">[5]Sheet2!#REF!</definedName>
    <definedName name="PRINT_AREA_MI" localSheetId="9">[5]Sheet2!#REF!</definedName>
    <definedName name="PRINT_AREA_MI" localSheetId="10">[5]Sheet2!#REF!</definedName>
    <definedName name="PRINT_AREA_MI" localSheetId="7">[5]Sheet2!#REF!</definedName>
    <definedName name="PRINT_AREA_MI" localSheetId="11">[5]Sheet2!#REF!</definedName>
    <definedName name="PRINT_AREA_MI">[5]Sheet2!#REF!</definedName>
    <definedName name="_xlnm.Print_Titles" localSheetId="4">'3.구성현황표(건축)'!$3:$4</definedName>
    <definedName name="SUM_A" localSheetId="11">[2]!SUM_A</definedName>
    <definedName name="SUM_A">[2]!SUM_A</definedName>
    <definedName name="wrn.부산주경기장.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개발비" localSheetId="8">[6]사업성분석!#REF!</definedName>
    <definedName name="개발비" localSheetId="9">[6]사업성분석!#REF!</definedName>
    <definedName name="개발비" localSheetId="10">[6]사업성분석!#REF!</definedName>
    <definedName name="개발비" localSheetId="7">[6]사업성분석!#REF!</definedName>
    <definedName name="개발비" localSheetId="11">[6]사업성분석!#REF!</definedName>
    <definedName name="개발비">[6]사업성분석!#REF!</definedName>
    <definedName name="건축비용" localSheetId="11">[7]!건축비용</definedName>
    <definedName name="건축비용">[7]!건축비용</definedName>
    <definedName name="견적2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수나눈값" localSheetId="6">[8]계수!$E$1</definedName>
    <definedName name="계수나눈값" localSheetId="8">[8]계수!$E$1</definedName>
    <definedName name="계수나눈값" localSheetId="12">[9]계수!$E$1</definedName>
    <definedName name="계수나눈값" localSheetId="5">[10]계수!$E$1</definedName>
    <definedName name="계수나눈값">[11]계수!$E$1</definedName>
    <definedName name="계수영역" localSheetId="6">[8]계수!$A$2:$C$13</definedName>
    <definedName name="계수영역" localSheetId="8">[8]계수!$A$2:$C$13</definedName>
    <definedName name="계수영역" localSheetId="12">[9]계수!$A$2:$C$13</definedName>
    <definedName name="계수영역" localSheetId="5">[10]계수!$A$2:$C$13</definedName>
    <definedName name="계수영역">[11]계수!$A$2:$C$13</definedName>
    <definedName name="계약금">'[12]1-최종안'!$G$13</definedName>
    <definedName name="공영정산" localSheetId="8">[6]사업성분석!#REF!</definedName>
    <definedName name="공영정산" localSheetId="9">[6]사업성분석!#REF!</definedName>
    <definedName name="공영정산" localSheetId="10">[6]사업성분석!#REF!</definedName>
    <definedName name="공영정산" localSheetId="7">[6]사업성분석!#REF!</definedName>
    <definedName name="공영정산" localSheetId="11">[6]사업성분석!#REF!</definedName>
    <definedName name="공영정산">[6]사업성분석!#REF!</definedName>
    <definedName name="교굑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8">#REF!</definedName>
    <definedName name="금융2" localSheetId="9">#REF!</definedName>
    <definedName name="금융2" localSheetId="10">#REF!</definedName>
    <definedName name="금융2" localSheetId="7">#REF!</definedName>
    <definedName name="금융2" localSheetId="11">#REF!</definedName>
    <definedName name="금융2">#REF!</definedName>
    <definedName name="기타자료" localSheetId="11">[7]!기타자료</definedName>
    <definedName name="기타자료">[7]!기타자료</definedName>
    <definedName name="노원문화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당사광고">[13]사업수지!$H$77</definedName>
    <definedName name="당사모델운영">[13]사업수지!$H$78</definedName>
    <definedName name="당사사업추진">[13]사업수지!$H$79</definedName>
    <definedName name="대여이자" localSheetId="8">[6]사업성분석!#REF!</definedName>
    <definedName name="대여이자" localSheetId="9">[6]사업성분석!#REF!</definedName>
    <definedName name="대여이자" localSheetId="10">[6]사업성분석!#REF!</definedName>
    <definedName name="대여이자" localSheetId="7">[6]사업성분석!#REF!</definedName>
    <definedName name="대여이자" localSheetId="11">[6]사업성분석!#REF!</definedName>
    <definedName name="대여이자">[6]사업성분석!#REF!</definedName>
    <definedName name="도급계">[6]사업성분석!$H$45</definedName>
    <definedName name="도로부담금" localSheetId="8">[14]당사!#REF!</definedName>
    <definedName name="도로부담금" localSheetId="9">[14]당사!#REF!</definedName>
    <definedName name="도로부담금" localSheetId="10">[14]당사!#REF!</definedName>
    <definedName name="도로부담금" localSheetId="7">[14]당사!#REF!</definedName>
    <definedName name="도로부담금" localSheetId="11">[14]당사!#REF!</definedName>
    <definedName name="도로부담금">[14]당사!#REF!</definedName>
    <definedName name="ㄹㄹ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면적총괄" localSheetId="11">[7]!면적총괄</definedName>
    <definedName name="면적총괄">[7]!면적총괄</definedName>
    <definedName name="무이주비" localSheetId="8">[6]사업성분석!#REF!</definedName>
    <definedName name="무이주비" localSheetId="9">[6]사업성분석!#REF!</definedName>
    <definedName name="무이주비" localSheetId="10">[6]사업성분석!#REF!</definedName>
    <definedName name="무이주비" localSheetId="7">[6]사업성분석!#REF!</definedName>
    <definedName name="무이주비" localSheetId="11">[6]사업성분석!#REF!</definedName>
    <definedName name="무이주비">[6]사업성분석!#REF!</definedName>
    <definedName name="보증" localSheetId="8">[15]수지!#REF!</definedName>
    <definedName name="보증" localSheetId="9">[15]수지!#REF!</definedName>
    <definedName name="보증" localSheetId="10">[15]수지!#REF!</definedName>
    <definedName name="보증" localSheetId="11">[15]수지!#REF!</definedName>
    <definedName name="보증">[15]수지!#REF!</definedName>
    <definedName name="분양금액">'[12]사업분석-분양가결정'!$H$17</definedName>
    <definedName name="분양예측" localSheetId="11">[7]!분양예측</definedName>
    <definedName name="분양예측">[7]!분양예측</definedName>
    <definedName name="사업성분석">[16]사업분석!$I$22</definedName>
    <definedName name="산출내역서0" localSheetId="12">[17]계수!$G$1</definedName>
    <definedName name="산출내역서0">[18]계수!$G$1</definedName>
    <definedName name="설계보상" localSheetId="8">[6]사업성분석!#REF!</definedName>
    <definedName name="설계보상" localSheetId="9">[6]사업성분석!#REF!</definedName>
    <definedName name="설계보상" localSheetId="10">[6]사업성분석!#REF!</definedName>
    <definedName name="설계보상" localSheetId="7">[6]사업성분석!#REF!</definedName>
    <definedName name="설계보상" localSheetId="11">[6]사업성분석!#REF!</definedName>
    <definedName name="설계보상">[6]사업성분석!#REF!</definedName>
    <definedName name="속초조양부대입찰요청서" localSheetId="8">[19]확약서!#REF!</definedName>
    <definedName name="속초조양부대입찰요청서" localSheetId="9">[19]확약서!#REF!</definedName>
    <definedName name="속초조양부대입찰요청서" localSheetId="10">[19]확약서!#REF!</definedName>
    <definedName name="속초조양부대입찰요청서" localSheetId="7">[19]확약서!#REF!</definedName>
    <definedName name="속초조양부대입찰요청서" localSheetId="11">[19]확약서!#REF!</definedName>
    <definedName name="속초조양부대입찰요청서">[19]확약서!#REF!</definedName>
    <definedName name="속초조양원하도급예정금액대비" localSheetId="8">[19]확약서!#REF!</definedName>
    <definedName name="속초조양원하도급예정금액대비" localSheetId="9">[19]확약서!#REF!</definedName>
    <definedName name="속초조양원하도급예정금액대비" localSheetId="10">[19]확약서!#REF!</definedName>
    <definedName name="속초조양원하도급예정금액대비" localSheetId="11">[19]확약서!#REF!</definedName>
    <definedName name="속초조양원하도급예정금액대비">[19]확약서!#REF!</definedName>
    <definedName name="속초조양지급자재" localSheetId="8">[19]확약서!#REF!</definedName>
    <definedName name="속초조양지급자재" localSheetId="9">[19]확약서!#REF!</definedName>
    <definedName name="속초조양지급자재" localSheetId="10">[19]확약서!#REF!</definedName>
    <definedName name="속초조양지급자재" localSheetId="11">[19]확약서!#REF!</definedName>
    <definedName name="속초조양지급자재">[19]확약서!#REF!</definedName>
    <definedName name="속초조양하도급사항" localSheetId="8">[19]확약서!#REF!</definedName>
    <definedName name="속초조양하도급사항" localSheetId="9">[19]확약서!#REF!</definedName>
    <definedName name="속초조양하도급사항" localSheetId="10">[19]확약서!#REF!</definedName>
    <definedName name="속초조양하도급사항" localSheetId="11">[19]확약서!#REF!</definedName>
    <definedName name="속초조양하도급사항">[19]확약서!#REF!</definedName>
    <definedName name="손익분기" localSheetId="11">[7]!손익분기</definedName>
    <definedName name="손익분기">[7]!손익분기</definedName>
    <definedName name="수입" localSheetId="11">[7]!수입</definedName>
    <definedName name="수입">[7]!수입</definedName>
    <definedName name="승수" localSheetId="6">[8]계수!$F$1</definedName>
    <definedName name="승수" localSheetId="8">[8]계수!$F$1</definedName>
    <definedName name="승수" localSheetId="12">[9]계수!$F$1</definedName>
    <definedName name="승수" localSheetId="5">[10]계수!$F$1</definedName>
    <definedName name="승수">[11]계수!$F$1</definedName>
    <definedName name="승수비율" localSheetId="6">[8]계수!$G$1</definedName>
    <definedName name="승수비율" localSheetId="8">[8]계수!$G$1</definedName>
    <definedName name="승수비율" localSheetId="12">[9]계수!$G$1</definedName>
    <definedName name="승수비율" localSheetId="5">[10]계수!$G$1</definedName>
    <definedName name="승수비율">[11]계수!$G$1</definedName>
    <definedName name="ㅇㅇ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예정공정표">[13]사업수지!$H$77</definedName>
    <definedName name="용역" localSheetId="8">[6]사업성분석!#REF!</definedName>
    <definedName name="용역" localSheetId="9">[6]사업성분석!#REF!</definedName>
    <definedName name="용역" localSheetId="10">[6]사업성분석!#REF!</definedName>
    <definedName name="용역" localSheetId="7">[6]사업성분석!#REF!</definedName>
    <definedName name="용역" localSheetId="11">[6]사업성분석!#REF!</definedName>
    <definedName name="용역">[6]사업성분석!#REF!</definedName>
    <definedName name="원위치" localSheetId="11">[19]!원위치</definedName>
    <definedName name="원위치">[19]!원위치</definedName>
    <definedName name="유이주비" localSheetId="8">[6]사업성분석!#REF!</definedName>
    <definedName name="유이주비" localSheetId="9">[6]사업성분석!#REF!</definedName>
    <definedName name="유이주비" localSheetId="10">[6]사업성분석!#REF!</definedName>
    <definedName name="유이주비" localSheetId="7">[6]사업성분석!#REF!</definedName>
    <definedName name="유이주비" localSheetId="11">[6]사업성분석!#REF!</definedName>
    <definedName name="유이주비">[6]사업성분석!#REF!</definedName>
    <definedName name="유토지" localSheetId="8">[6]사업성분석!#REF!</definedName>
    <definedName name="유토지" localSheetId="9">[6]사업성분석!#REF!</definedName>
    <definedName name="유토지" localSheetId="10">[6]사업성분석!#REF!</definedName>
    <definedName name="유토지" localSheetId="11">[6]사업성분석!#REF!</definedName>
    <definedName name="유토지">[6]사업성분석!#REF!</definedName>
    <definedName name="이주비이자" localSheetId="8">[6]사업성분석!#REF!</definedName>
    <definedName name="이주비이자" localSheetId="9">[6]사업성분석!#REF!</definedName>
    <definedName name="이주비이자" localSheetId="10">[6]사업성분석!#REF!</definedName>
    <definedName name="이주비이자" localSheetId="11">[6]사업성분석!#REF!</definedName>
    <definedName name="이주비이자">[6]사업성분석!#REF!</definedName>
    <definedName name="인허가" localSheetId="8">[6]사업성분석!#REF!</definedName>
    <definedName name="인허가" localSheetId="9">[6]사업성분석!#REF!</definedName>
    <definedName name="인허가" localSheetId="10">[6]사업성분석!#REF!</definedName>
    <definedName name="인허가" localSheetId="11">[6]사업성분석!#REF!</definedName>
    <definedName name="인허가">[6]사업성분석!#REF!</definedName>
    <definedName name="잔여유토지" localSheetId="8">[6]사업성분석!#REF!</definedName>
    <definedName name="잔여유토지" localSheetId="9">[6]사업성분석!#REF!</definedName>
    <definedName name="잔여유토지" localSheetId="10">[6]사업성분석!#REF!</definedName>
    <definedName name="잔여유토지" localSheetId="11">[6]사업성분석!#REF!</definedName>
    <definedName name="잔여유토지">[6]사업성분석!#REF!</definedName>
    <definedName name="정산설계" localSheetId="8">[6]사업성분석!#REF!</definedName>
    <definedName name="정산설계" localSheetId="9">[6]사업성분석!#REF!</definedName>
    <definedName name="정산설계" localSheetId="10">[6]사업성분석!#REF!</definedName>
    <definedName name="정산설계" localSheetId="11">[6]사업성분석!#REF!</definedName>
    <definedName name="정산설계">[6]사업성분석!#REF!</definedName>
    <definedName name="정산시공보증" localSheetId="8">[6]사업성분석!#REF!</definedName>
    <definedName name="정산시공보증" localSheetId="9">[6]사업성분석!#REF!</definedName>
    <definedName name="정산시공보증" localSheetId="10">[6]사업성분석!#REF!</definedName>
    <definedName name="정산시공보증" localSheetId="11">[6]사업성분석!#REF!</definedName>
    <definedName name="정산시공보증">[6]사업성분석!#REF!</definedName>
    <definedName name="정산용역" localSheetId="8">[6]사업성분석!#REF!</definedName>
    <definedName name="정산용역" localSheetId="9">[6]사업성분석!#REF!</definedName>
    <definedName name="정산용역" localSheetId="10">[6]사업성분석!#REF!</definedName>
    <definedName name="정산용역" localSheetId="11">[6]사업성분석!#REF!</definedName>
    <definedName name="정산용역">[6]사업성분석!#REF!</definedName>
    <definedName name="정산이자" localSheetId="8">[6]사업성분석!#REF!</definedName>
    <definedName name="정산이자" localSheetId="9">[6]사업성분석!#REF!</definedName>
    <definedName name="정산이자" localSheetId="10">[6]사업성분석!#REF!</definedName>
    <definedName name="정산이자" localSheetId="11">[6]사업성분석!#REF!</definedName>
    <definedName name="정산이자">[6]사업성분석!#REF!</definedName>
    <definedName name="정산조합개소비" localSheetId="8">[6]사업성분석!#REF!</definedName>
    <definedName name="정산조합개소비" localSheetId="9">[6]사업성분석!#REF!</definedName>
    <definedName name="정산조합개소비" localSheetId="10">[6]사업성분석!#REF!</definedName>
    <definedName name="정산조합개소비" localSheetId="11">[6]사업성분석!#REF!</definedName>
    <definedName name="정산조합개소비">[6]사업성분석!#REF!</definedName>
    <definedName name="정산조합운영" localSheetId="8">[6]사업성분석!#REF!</definedName>
    <definedName name="정산조합운영" localSheetId="9">[6]사업성분석!#REF!</definedName>
    <definedName name="정산조합운영" localSheetId="10">[6]사업성분석!#REF!</definedName>
    <definedName name="정산조합운영" localSheetId="11">[6]사업성분석!#REF!</definedName>
    <definedName name="정산조합운영">[6]사업성분석!#REF!</definedName>
    <definedName name="정산토지" localSheetId="8">[6]사업성분석!#REF!</definedName>
    <definedName name="정산토지" localSheetId="9">[6]사업성분석!#REF!</definedName>
    <definedName name="정산토지" localSheetId="10">[6]사업성분석!#REF!</definedName>
    <definedName name="정산토지" localSheetId="11">[6]사업성분석!#REF!</definedName>
    <definedName name="정산토지">[6]사업성분석!#REF!</definedName>
    <definedName name="제어판" localSheetId="11">[7]!제어판</definedName>
    <definedName name="제어판">[7]!제어판</definedName>
    <definedName name="제출2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출계획" localSheetId="11">[7]!지출계획</definedName>
    <definedName name="지출계획">[7]!지출계획</definedName>
    <definedName name="차트" localSheetId="11">[7]!차트</definedName>
    <definedName name="차트">[7]!차트</definedName>
    <definedName name="측량" localSheetId="8">[6]사업성분석!#REF!</definedName>
    <definedName name="측량" localSheetId="9">[6]사업성분석!#REF!</definedName>
    <definedName name="측량" localSheetId="10">[6]사업성분석!#REF!</definedName>
    <definedName name="측량" localSheetId="7">[6]사업성분석!#REF!</definedName>
    <definedName name="측량" localSheetId="11">[6]사업성분석!#REF!</definedName>
    <definedName name="측량">[6]사업성분석!#REF!</definedName>
    <definedName name="측량지질" localSheetId="8">[6]사업성분석!#REF!</definedName>
    <definedName name="측량지질" localSheetId="9">[6]사업성분석!#REF!</definedName>
    <definedName name="측량지질" localSheetId="10">[6]사업성분석!#REF!</definedName>
    <definedName name="측량지질" localSheetId="11">[6]사업성분석!#REF!</definedName>
    <definedName name="측량지질">[6]사업성분석!#REF!</definedName>
    <definedName name="표지" localSheetId="8">#REF!</definedName>
    <definedName name="표지" localSheetId="9">#REF!</definedName>
    <definedName name="표지" localSheetId="10">#REF!</definedName>
    <definedName name="표지" localSheetId="7">#REF!</definedName>
    <definedName name="표지" localSheetId="11">#REF!</definedName>
    <definedName name="표지">#REF!</definedName>
    <definedName name="하도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 localSheetId="8">[15]수지!#REF!</definedName>
    <definedName name="하자보수" localSheetId="9">[15]수지!#REF!</definedName>
    <definedName name="하자보수" localSheetId="10">[15]수지!#REF!</definedName>
    <definedName name="하자보수" localSheetId="11">[15]수지!#REF!</definedName>
    <definedName name="하자보수">[15]수지!#REF!</definedName>
    <definedName name="행열변환_1.행열변환_1" localSheetId="11">[4]!행열변환_1.행열변환_1</definedName>
    <definedName name="행열변환_1.행열변환_1">[4]!행열변환_1.행열변환_1</definedName>
    <definedName name="행열변환_2.행열변환_2" localSheetId="11">[4]!행열변환_2.행열변환_2</definedName>
    <definedName name="행열변환_2.행열변환_2">[4]!행열변환_2.행열변환_2</definedName>
    <definedName name="행열변환_3.행열변환_3">[20]!행열변환_3.행열변환_3</definedName>
    <definedName name="행열변환_4.행열변환_4" localSheetId="11">[21]!행열변환_4.행열변환_4</definedName>
    <definedName name="행열변환_4.행열변환_4">[21]!행열변환_4.행열변환_4</definedName>
    <definedName name="ㅐㅐㅐ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24519"/>
</workbook>
</file>

<file path=xl/calcChain.xml><?xml version="1.0" encoding="utf-8"?>
<calcChain xmlns="http://schemas.openxmlformats.org/spreadsheetml/2006/main">
  <c r="G15" i="7"/>
  <c r="H16" i="12" l="1"/>
  <c r="G16" i="45"/>
  <c r="H23"/>
  <c r="H22"/>
  <c r="H20"/>
  <c r="H19"/>
  <c r="H18"/>
  <c r="H17"/>
  <c r="H15"/>
  <c r="F19"/>
  <c r="F18"/>
  <c r="F17"/>
  <c r="F15"/>
  <c r="D20"/>
  <c r="G20" s="1"/>
  <c r="D19"/>
  <c r="G19" s="1"/>
  <c r="D18"/>
  <c r="G18" s="1"/>
  <c r="D17"/>
  <c r="G17" s="1"/>
  <c r="F20"/>
  <c r="F67" i="46"/>
  <c r="F66"/>
  <c r="G65"/>
  <c r="F64"/>
  <c r="E64"/>
  <c r="D64"/>
  <c r="F63"/>
  <c r="E63"/>
  <c r="D63"/>
  <c r="F62"/>
  <c r="E62"/>
  <c r="D62"/>
  <c r="F61"/>
  <c r="E61"/>
  <c r="D61"/>
  <c r="F60"/>
  <c r="E60"/>
  <c r="D60"/>
  <c r="F59"/>
  <c r="E59"/>
  <c r="D59"/>
  <c r="F58"/>
  <c r="E58"/>
  <c r="D58"/>
  <c r="F57"/>
  <c r="E57"/>
  <c r="D57"/>
  <c r="F56"/>
  <c r="E56"/>
  <c r="D56"/>
  <c r="D65" s="1"/>
  <c r="G55"/>
  <c r="F54"/>
  <c r="E54"/>
  <c r="D54"/>
  <c r="F53"/>
  <c r="E53"/>
  <c r="D53"/>
  <c r="F52"/>
  <c r="E52"/>
  <c r="D52"/>
  <c r="F51"/>
  <c r="E51"/>
  <c r="D51"/>
  <c r="F50"/>
  <c r="E50"/>
  <c r="D50"/>
  <c r="F49"/>
  <c r="E49"/>
  <c r="D49"/>
  <c r="F48"/>
  <c r="E48"/>
  <c r="D48"/>
  <c r="F47"/>
  <c r="E47"/>
  <c r="D47"/>
  <c r="F46"/>
  <c r="E46"/>
  <c r="D46"/>
  <c r="F45"/>
  <c r="E45"/>
  <c r="D45"/>
  <c r="F44"/>
  <c r="E44"/>
  <c r="D44"/>
  <c r="F43"/>
  <c r="E43"/>
  <c r="D43"/>
  <c r="F42"/>
  <c r="E42"/>
  <c r="D42"/>
  <c r="F41"/>
  <c r="E41"/>
  <c r="D41"/>
  <c r="F40"/>
  <c r="E40"/>
  <c r="D40"/>
  <c r="F39"/>
  <c r="E39"/>
  <c r="D39"/>
  <c r="F38"/>
  <c r="E38"/>
  <c r="D38"/>
  <c r="F37"/>
  <c r="E37"/>
  <c r="D37"/>
  <c r="F36"/>
  <c r="E36"/>
  <c r="D36"/>
  <c r="F35"/>
  <c r="E35"/>
  <c r="D35"/>
  <c r="F34"/>
  <c r="E34"/>
  <c r="D34"/>
  <c r="F33"/>
  <c r="E33"/>
  <c r="D33"/>
  <c r="F32"/>
  <c r="E32"/>
  <c r="D32"/>
  <c r="D55" s="1"/>
  <c r="G31"/>
  <c r="F29"/>
  <c r="E29"/>
  <c r="D29"/>
  <c r="F28"/>
  <c r="E28"/>
  <c r="D28"/>
  <c r="F27"/>
  <c r="E27"/>
  <c r="D27"/>
  <c r="F26"/>
  <c r="E26"/>
  <c r="D26"/>
  <c r="F25"/>
  <c r="E25"/>
  <c r="D25"/>
  <c r="F24"/>
  <c r="E24"/>
  <c r="D24"/>
  <c r="F23"/>
  <c r="E23"/>
  <c r="D23"/>
  <c r="F22"/>
  <c r="E22"/>
  <c r="D22"/>
  <c r="F21"/>
  <c r="E21"/>
  <c r="D21"/>
  <c r="F20"/>
  <c r="E20"/>
  <c r="D20"/>
  <c r="F19"/>
  <c r="E19"/>
  <c r="D19"/>
  <c r="F18"/>
  <c r="E18"/>
  <c r="D18"/>
  <c r="F17"/>
  <c r="E17"/>
  <c r="D17"/>
  <c r="D31" s="1"/>
  <c r="I16"/>
  <c r="G16"/>
  <c r="F16"/>
  <c r="E24" i="45"/>
  <c r="G13" i="44"/>
  <c r="F12"/>
  <c r="G12" s="1"/>
  <c r="J33"/>
  <c r="F55" i="46" l="1"/>
  <c r="E65"/>
  <c r="F65"/>
  <c r="F31"/>
  <c r="E55"/>
  <c r="E31"/>
  <c r="F21" i="45"/>
  <c r="C21" i="44"/>
  <c r="G21" s="1"/>
  <c r="G14"/>
  <c r="C23" s="1"/>
  <c r="G23" s="1"/>
  <c r="G19" l="1"/>
  <c r="G11"/>
  <c r="C16" l="1"/>
  <c r="G16" s="1"/>
  <c r="G15" s="1"/>
  <c r="G27" s="1"/>
  <c r="C18"/>
  <c r="G18" s="1"/>
  <c r="G17" s="1"/>
  <c r="G29" l="1"/>
  <c r="J32"/>
  <c r="G28"/>
  <c r="G30" l="1"/>
  <c r="G31" s="1"/>
  <c r="G17" i="12" l="1"/>
  <c r="D55" i="7"/>
  <c r="D48" s="1"/>
  <c r="I13" i="22"/>
  <c r="A35" i="18"/>
  <c r="A36"/>
  <c r="A34"/>
  <c r="B30"/>
  <c r="B31" i="25" s="1"/>
  <c r="A23" i="18"/>
  <c r="A24" i="25" s="1"/>
  <c r="A24" i="18"/>
  <c r="A25" i="25" s="1"/>
  <c r="F6" i="22"/>
  <c r="C3"/>
  <c r="K13"/>
  <c r="C22" s="1"/>
  <c r="K22" s="1"/>
  <c r="K12"/>
  <c r="C20" s="1"/>
  <c r="K20" s="1"/>
  <c r="B29" i="18"/>
  <c r="C29" s="1"/>
  <c r="C30" i="25" s="1"/>
  <c r="D29" i="18"/>
  <c r="D28"/>
  <c r="I5" i="20"/>
  <c r="B44" i="18"/>
  <c r="B43"/>
  <c r="B28"/>
  <c r="B29" i="25" s="1"/>
  <c r="B27" i="18"/>
  <c r="B28" i="25" s="1"/>
  <c r="A12" i="18"/>
  <c r="A21" s="1"/>
  <c r="A22" i="25" s="1"/>
  <c r="A11" i="18"/>
  <c r="A16"/>
  <c r="A16" i="25" s="1"/>
  <c r="A18" i="18"/>
  <c r="A17"/>
  <c r="A15"/>
  <c r="A15" i="25" s="1"/>
  <c r="A8" i="18"/>
  <c r="A8" i="25" s="1"/>
  <c r="A5" i="18"/>
  <c r="A5" i="25" s="1"/>
  <c r="B40" i="18"/>
  <c r="D29" i="25"/>
  <c r="D30"/>
  <c r="A31"/>
  <c r="A29"/>
  <c r="A28"/>
  <c r="A1" i="19"/>
  <c r="H20" i="20"/>
  <c r="R20"/>
  <c r="W20"/>
  <c r="Z20"/>
  <c r="P21"/>
  <c r="T21"/>
  <c r="F21" i="12"/>
  <c r="G19"/>
  <c r="G20"/>
  <c r="G8"/>
  <c r="G5" i="45" s="1"/>
  <c r="I4" i="20"/>
  <c r="G13" i="7"/>
  <c r="G18" i="12"/>
  <c r="H21"/>
  <c r="D15" i="45" l="1"/>
  <c r="G15" s="1"/>
  <c r="G21" s="1"/>
  <c r="D22"/>
  <c r="G22" s="1"/>
  <c r="G22" i="12"/>
  <c r="F22" s="1"/>
  <c r="F22" i="45" s="1"/>
  <c r="K18" i="22"/>
  <c r="A12" i="25"/>
  <c r="E17" i="7"/>
  <c r="B30" i="25"/>
  <c r="E18" i="7"/>
  <c r="B31" i="18"/>
  <c r="C27"/>
  <c r="C28" i="25" s="1"/>
  <c r="K11" i="22"/>
  <c r="G15" i="12"/>
  <c r="G66" i="46"/>
  <c r="D66" s="1"/>
  <c r="H8" i="12"/>
  <c r="G67" i="46"/>
  <c r="D67" s="1"/>
  <c r="A20" i="18"/>
  <c r="A21" i="25" s="1"/>
  <c r="A11"/>
  <c r="D54" i="7"/>
  <c r="E48" s="1"/>
  <c r="C28" i="18"/>
  <c r="C29" i="25" s="1"/>
  <c r="E55" i="7" l="1"/>
  <c r="C17" i="22"/>
  <c r="K17" s="1"/>
  <c r="K16" s="1"/>
  <c r="C15"/>
  <c r="K15" s="1"/>
  <c r="K14" s="1"/>
  <c r="K25"/>
  <c r="K26" s="1"/>
  <c r="C34" i="19" s="1"/>
  <c r="C35" s="1"/>
  <c r="D22" i="7"/>
  <c r="E22" s="1"/>
  <c r="C54" i="18"/>
  <c r="G5" i="12"/>
  <c r="G6" i="45" s="1"/>
  <c r="D9" i="12"/>
  <c r="D9" i="45" s="1"/>
  <c r="H9" s="1"/>
  <c r="D48" i="11"/>
  <c r="D6" i="12" s="1"/>
  <c r="D7" i="45" s="1"/>
  <c r="H7" s="1"/>
  <c r="D10" i="12"/>
  <c r="D10" i="45" s="1"/>
  <c r="H10" s="1"/>
  <c r="H6" i="12"/>
  <c r="E53" i="7"/>
  <c r="E51"/>
  <c r="E50"/>
  <c r="E49"/>
  <c r="E54"/>
  <c r="E52"/>
  <c r="H10" i="12"/>
  <c r="D19" i="11"/>
  <c r="D5" i="12" s="1"/>
  <c r="G60" i="11"/>
  <c r="D8" i="12"/>
  <c r="D5" i="45" s="1"/>
  <c r="G6" i="12"/>
  <c r="G7" i="45" s="1"/>
  <c r="F60" i="11"/>
  <c r="D12" i="12"/>
  <c r="D12" i="45" s="1"/>
  <c r="D13" i="12"/>
  <c r="D13" i="45" s="1"/>
  <c r="D60" i="11"/>
  <c r="D7" i="12" s="1"/>
  <c r="D8" i="45" s="1"/>
  <c r="H8" s="1"/>
  <c r="H5" i="12"/>
  <c r="N6" i="20"/>
  <c r="H9" i="12"/>
  <c r="D6" i="45" l="1"/>
  <c r="H6" s="1"/>
  <c r="H11" s="1"/>
  <c r="F5"/>
  <c r="D16" i="46"/>
  <c r="E60" i="11"/>
  <c r="F9" i="12"/>
  <c r="F9" i="45" s="1"/>
  <c r="E19" i="11"/>
  <c r="F10" i="12"/>
  <c r="F10" i="45" s="1"/>
  <c r="C32" i="19"/>
  <c r="C33" s="1"/>
  <c r="D66" i="11"/>
  <c r="C55" i="18"/>
  <c r="D23" i="7"/>
  <c r="E23" s="1"/>
  <c r="G7" i="12"/>
  <c r="G8" i="45" s="1"/>
  <c r="G10" i="12"/>
  <c r="G10" i="45" s="1"/>
  <c r="H7" i="12"/>
  <c r="H11" s="1"/>
  <c r="D11"/>
  <c r="K25" i="20"/>
  <c r="L20"/>
  <c r="H23" s="1"/>
  <c r="Q25" s="1"/>
  <c r="F7" i="12"/>
  <c r="F8"/>
  <c r="E48" i="11"/>
  <c r="G9" i="12"/>
  <c r="G9" i="45" s="1"/>
  <c r="C57" i="18"/>
  <c r="C56"/>
  <c r="D24" i="7"/>
  <c r="E24" s="1"/>
  <c r="D11" i="45" l="1"/>
  <c r="I13" s="1"/>
  <c r="H69" i="46" s="1"/>
  <c r="G11" i="45"/>
  <c r="D11" i="46"/>
  <c r="E11" s="1"/>
  <c r="D12"/>
  <c r="E12" s="1"/>
  <c r="D14"/>
  <c r="E14" s="1"/>
  <c r="D5"/>
  <c r="E5" s="1"/>
  <c r="D15"/>
  <c r="E15" s="1"/>
  <c r="D6"/>
  <c r="E6" s="1"/>
  <c r="D9"/>
  <c r="E9" s="1"/>
  <c r="D10"/>
  <c r="E10" s="1"/>
  <c r="D13"/>
  <c r="E13" s="1"/>
  <c r="D7"/>
  <c r="E7" s="1"/>
  <c r="D8"/>
  <c r="E8" s="1"/>
  <c r="F11" i="45"/>
  <c r="F6" i="12"/>
  <c r="F5"/>
  <c r="C58" i="18"/>
  <c r="D14" i="12"/>
  <c r="B45" i="18"/>
  <c r="C49"/>
  <c r="G11" i="12"/>
  <c r="W25" i="20"/>
  <c r="I28" s="1"/>
  <c r="C36" i="19" s="1"/>
  <c r="I12" i="45" l="1"/>
  <c r="H12" s="1"/>
  <c r="D14"/>
  <c r="H13" i="12"/>
  <c r="G13" i="45"/>
  <c r="H13"/>
  <c r="H14" s="1"/>
  <c r="E16" i="46"/>
  <c r="F13" i="45"/>
  <c r="G69" i="46"/>
  <c r="F69"/>
  <c r="F11" i="12"/>
  <c r="C47" i="18" s="1"/>
  <c r="C50" s="1"/>
  <c r="G13" i="12"/>
  <c r="D26" i="7" s="1"/>
  <c r="E26" s="1"/>
  <c r="H12" i="12"/>
  <c r="H14" s="1"/>
  <c r="H24" s="1"/>
  <c r="D38"/>
  <c r="D21" i="7"/>
  <c r="E21" s="1"/>
  <c r="C37" i="19"/>
  <c r="D39" s="1"/>
  <c r="D38"/>
  <c r="A45" i="7"/>
  <c r="F12" i="45" l="1"/>
  <c r="F14" s="1"/>
  <c r="G12"/>
  <c r="G14" s="1"/>
  <c r="H68" i="46"/>
  <c r="E68" s="1"/>
  <c r="F68"/>
  <c r="E69"/>
  <c r="D69" s="1"/>
  <c r="G12" i="12"/>
  <c r="G14" s="1"/>
  <c r="G68" i="46" l="1"/>
  <c r="G70" s="1"/>
  <c r="I14" i="45"/>
  <c r="E70" i="46"/>
  <c r="J68"/>
  <c r="K68"/>
  <c r="F70"/>
  <c r="F13" i="12"/>
  <c r="F12"/>
  <c r="D25" i="7"/>
  <c r="E25" s="1"/>
  <c r="D68" i="46" l="1"/>
  <c r="I68" s="1"/>
  <c r="F14" i="12"/>
  <c r="D29" i="7" s="1"/>
  <c r="I37" s="1"/>
  <c r="D70" i="46" l="1"/>
  <c r="F72" s="1"/>
  <c r="C39" i="7"/>
  <c r="B10" i="19"/>
  <c r="E29" i="7"/>
  <c r="O37"/>
  <c r="P36" s="1"/>
  <c r="I36"/>
  <c r="J36"/>
  <c r="E72" i="46" l="1"/>
  <c r="D72" s="1"/>
  <c r="G72"/>
  <c r="O36" i="7"/>
  <c r="O38" s="1"/>
  <c r="C42" s="1"/>
  <c r="J38"/>
  <c r="D34"/>
  <c r="B39"/>
  <c r="P38"/>
  <c r="E34"/>
  <c r="I38"/>
  <c r="E35" s="1"/>
  <c r="A41" l="1"/>
  <c r="H16" i="19"/>
  <c r="E19" s="1"/>
  <c r="P37" i="7"/>
  <c r="B42"/>
  <c r="F42"/>
  <c r="D42"/>
  <c r="A38"/>
  <c r="D39"/>
  <c r="D35"/>
  <c r="I44"/>
  <c r="H13" i="19"/>
  <c r="C13"/>
  <c r="J37" i="7"/>
  <c r="I42" s="1"/>
  <c r="C16" i="19"/>
  <c r="F39" i="7"/>
  <c r="D36" s="1"/>
  <c r="F30" s="1"/>
  <c r="G16" i="12" s="1"/>
  <c r="C19" i="19" l="1"/>
  <c r="C18"/>
  <c r="E18"/>
  <c r="G21" i="12"/>
  <c r="D16"/>
  <c r="D30" i="7"/>
  <c r="I43"/>
  <c r="D16" i="45" l="1"/>
  <c r="H16" s="1"/>
  <c r="H21" s="1"/>
  <c r="H24" s="1"/>
  <c r="D45" i="7"/>
  <c r="E45" s="1"/>
  <c r="D21" i="12"/>
  <c r="G30" i="7"/>
  <c r="D31"/>
  <c r="G31" s="1"/>
  <c r="D21" i="45" l="1"/>
  <c r="D23"/>
  <c r="G23" s="1"/>
  <c r="G24" s="1"/>
  <c r="E20" i="7"/>
  <c r="D24" i="45" l="1"/>
  <c r="E22" s="1"/>
  <c r="G23" i="12"/>
  <c r="D28" i="7"/>
  <c r="E19"/>
  <c r="E28" s="1"/>
  <c r="D24" i="12"/>
  <c r="E16" i="45" l="1"/>
  <c r="E23"/>
  <c r="E15"/>
  <c r="E10"/>
  <c r="E6"/>
  <c r="E12"/>
  <c r="E21"/>
  <c r="E19"/>
  <c r="E20"/>
  <c r="E18"/>
  <c r="E14"/>
  <c r="E17"/>
  <c r="E8"/>
  <c r="E9"/>
  <c r="E5"/>
  <c r="E7"/>
  <c r="E13"/>
  <c r="E11"/>
  <c r="E23" i="12"/>
  <c r="E14"/>
  <c r="E13"/>
  <c r="E12"/>
  <c r="E15"/>
  <c r="E22"/>
  <c r="E24"/>
  <c r="E17"/>
  <c r="E11"/>
  <c r="E8"/>
  <c r="E6"/>
  <c r="E9"/>
  <c r="E10"/>
  <c r="E19"/>
  <c r="E7"/>
  <c r="E20"/>
  <c r="E18"/>
  <c r="E5"/>
  <c r="E16"/>
  <c r="E21"/>
  <c r="F23"/>
  <c r="F23" i="45" s="1"/>
  <c r="F24" s="1"/>
  <c r="G24" i="12"/>
  <c r="F24" l="1"/>
  <c r="F38" l="1"/>
</calcChain>
</file>

<file path=xl/sharedStrings.xml><?xml version="1.0" encoding="utf-8"?>
<sst xmlns="http://schemas.openxmlformats.org/spreadsheetml/2006/main" count="873" uniqueCount="738">
  <si>
    <t>주택건설공사 감리자 모집에 따른 사업개요</t>
    <phoneticPr fontId="3" type="noConversion"/>
  </si>
  <si>
    <t>1. 사업명</t>
    <phoneticPr fontId="3" type="noConversion"/>
  </si>
  <si>
    <t>2. 대지위치</t>
    <phoneticPr fontId="3" type="noConversion"/>
  </si>
  <si>
    <t>3. 사업주체</t>
    <phoneticPr fontId="3" type="noConversion"/>
  </si>
  <si>
    <t>4. 설계자</t>
    <phoneticPr fontId="3" type="noConversion"/>
  </si>
  <si>
    <t>5. 시공자</t>
    <phoneticPr fontId="3" type="noConversion"/>
  </si>
  <si>
    <t>7. 사업개요</t>
    <phoneticPr fontId="3" type="noConversion"/>
  </si>
  <si>
    <t xml:space="preserve">        - 책임감리 : 특급 1명</t>
    <phoneticPr fontId="3" type="noConversion"/>
  </si>
  <si>
    <t xml:space="preserve">        - 산      출 : (개월수 × 특급임금)   → 직접인건비 산출</t>
    <phoneticPr fontId="3" type="noConversion"/>
  </si>
  <si>
    <t>(VAT제외)</t>
  </si>
  <si>
    <t xml:space="preserve">    - 전기공사 감리비 산정 : </t>
    <phoneticPr fontId="3" type="noConversion"/>
  </si>
  <si>
    <t xml:space="preserve">                                        </t>
    <phoneticPr fontId="3" type="noConversion"/>
  </si>
  <si>
    <t>(VAT포함)</t>
    <phoneticPr fontId="3" type="noConversion"/>
  </si>
  <si>
    <t xml:space="preserve">    - 소방설비공사 감리비 산정 : </t>
    <phoneticPr fontId="3" type="noConversion"/>
  </si>
  <si>
    <t xml:space="preserve">    - 정보통신공사 감리비 산정 : </t>
    <phoneticPr fontId="3" type="noConversion"/>
  </si>
  <si>
    <t>(VAT제외)</t>
    <phoneticPr fontId="3" type="noConversion"/>
  </si>
  <si>
    <t xml:space="preserve">※ 타법공사 감리비 계 </t>
    <phoneticPr fontId="3" type="noConversion"/>
  </si>
  <si>
    <t xml:space="preserve">  - 건축면적 :</t>
    <phoneticPr fontId="3" type="noConversion"/>
  </si>
  <si>
    <t>기준요율</t>
    <phoneticPr fontId="3" type="noConversion"/>
  </si>
  <si>
    <t>비  고</t>
    <phoneticPr fontId="3" type="noConversion"/>
  </si>
  <si>
    <t>[별지 제1호 서식]</t>
    <phoneticPr fontId="3" type="noConversion"/>
  </si>
  <si>
    <t>단위 : 천원</t>
    <phoneticPr fontId="3" type="noConversion"/>
  </si>
  <si>
    <t>구    분</t>
    <phoneticPr fontId="3" type="noConversion"/>
  </si>
  <si>
    <t>[별지 제2호 서식]</t>
    <phoneticPr fontId="3" type="noConversion"/>
  </si>
  <si>
    <t>공종별 총공사비 구성 현황표</t>
    <phoneticPr fontId="3" type="noConversion"/>
  </si>
  <si>
    <t>순공사비</t>
    <phoneticPr fontId="3" type="noConversion"/>
  </si>
  <si>
    <t>구  분</t>
    <phoneticPr fontId="3" type="noConversion"/>
  </si>
  <si>
    <t>분 야</t>
    <phoneticPr fontId="3" type="noConversion"/>
  </si>
  <si>
    <t>공  종</t>
    <phoneticPr fontId="3" type="noConversion"/>
  </si>
  <si>
    <t>토  목</t>
    <phoneticPr fontId="3" type="noConversion"/>
  </si>
  <si>
    <t>(13개공종)</t>
    <phoneticPr fontId="3" type="noConversion"/>
  </si>
  <si>
    <t>토공사</t>
    <phoneticPr fontId="3" type="noConversion"/>
  </si>
  <si>
    <t>흙막이공사</t>
    <phoneticPr fontId="3" type="noConversion"/>
  </si>
  <si>
    <t>옹벽공사</t>
    <phoneticPr fontId="3" type="noConversion"/>
  </si>
  <si>
    <t>우.오수공사</t>
    <phoneticPr fontId="3" type="noConversion"/>
  </si>
  <si>
    <t>공동구공사</t>
    <phoneticPr fontId="3" type="noConversion"/>
  </si>
  <si>
    <t>지하저수조 및 급수공사</t>
    <phoneticPr fontId="3" type="noConversion"/>
  </si>
  <si>
    <t>도로 포장공사</t>
    <phoneticPr fontId="3" type="noConversion"/>
  </si>
  <si>
    <t>정화조시설공사</t>
    <phoneticPr fontId="3" type="noConversion"/>
  </si>
  <si>
    <t>조경공사</t>
    <phoneticPr fontId="3" type="noConversion"/>
  </si>
  <si>
    <t>건  축</t>
    <phoneticPr fontId="3" type="noConversion"/>
  </si>
  <si>
    <t>(23개공종)</t>
    <phoneticPr fontId="3" type="noConversion"/>
  </si>
  <si>
    <t>가시설물 공사</t>
    <phoneticPr fontId="3" type="noConversion"/>
  </si>
  <si>
    <t>지정 및 기초공사</t>
    <phoneticPr fontId="3" type="noConversion"/>
  </si>
  <si>
    <t>철골공사</t>
    <phoneticPr fontId="3" type="noConversion"/>
  </si>
  <si>
    <t>철근콘크리트공사</t>
    <phoneticPr fontId="3" type="noConversion"/>
  </si>
  <si>
    <t>용접공사</t>
    <phoneticPr fontId="3" type="noConversion"/>
  </si>
  <si>
    <t>조적공사</t>
    <phoneticPr fontId="3" type="noConversion"/>
  </si>
  <si>
    <t>미장공사</t>
    <phoneticPr fontId="3" type="noConversion"/>
  </si>
  <si>
    <t>단열공사</t>
    <phoneticPr fontId="3" type="noConversion"/>
  </si>
  <si>
    <t>방수/방습공사</t>
    <phoneticPr fontId="3" type="noConversion"/>
  </si>
  <si>
    <t>목공사</t>
    <phoneticPr fontId="3" type="noConversion"/>
  </si>
  <si>
    <t>가구공사</t>
    <phoneticPr fontId="3" type="noConversion"/>
  </si>
  <si>
    <t>금속공사</t>
    <phoneticPr fontId="3" type="noConversion"/>
  </si>
  <si>
    <t>지붕 및 홈통공사</t>
    <phoneticPr fontId="3" type="noConversion"/>
  </si>
  <si>
    <t>창호공사</t>
    <phoneticPr fontId="3" type="noConversion"/>
  </si>
  <si>
    <t>타일공사</t>
    <phoneticPr fontId="3" type="noConversion"/>
  </si>
  <si>
    <t>도장공사</t>
    <phoneticPr fontId="3" type="noConversion"/>
  </si>
  <si>
    <t>도배공사</t>
    <phoneticPr fontId="3" type="noConversion"/>
  </si>
  <si>
    <t>수장공사</t>
    <phoneticPr fontId="3" type="noConversion"/>
  </si>
  <si>
    <t>주방용구공사</t>
    <phoneticPr fontId="3" type="noConversion"/>
  </si>
  <si>
    <t>기계설비</t>
    <phoneticPr fontId="3" type="noConversion"/>
  </si>
  <si>
    <t>(9개공사)</t>
    <phoneticPr fontId="3" type="noConversion"/>
  </si>
  <si>
    <t>급수설비공사</t>
    <phoneticPr fontId="3" type="noConversion"/>
  </si>
  <si>
    <t>급탕설비공사</t>
    <phoneticPr fontId="3" type="noConversion"/>
  </si>
  <si>
    <t>위생기구 공사</t>
    <phoneticPr fontId="3" type="noConversion"/>
  </si>
  <si>
    <t>오배수 및 통기설비공사</t>
    <phoneticPr fontId="3" type="noConversion"/>
  </si>
  <si>
    <t>난방 설비공사</t>
    <phoneticPr fontId="3" type="noConversion"/>
  </si>
  <si>
    <t>가스 설비공사</t>
    <phoneticPr fontId="3" type="noConversion"/>
  </si>
  <si>
    <t>특수설비공사</t>
    <phoneticPr fontId="3" type="noConversion"/>
  </si>
  <si>
    <t>소방설비(2개공사)</t>
    <phoneticPr fontId="3" type="noConversion"/>
  </si>
  <si>
    <t>일 반 관 리 비</t>
    <phoneticPr fontId="3" type="noConversion"/>
  </si>
  <si>
    <t>소  계</t>
    <phoneticPr fontId="3" type="noConversion"/>
  </si>
  <si>
    <t>소    계</t>
    <phoneticPr fontId="3" type="noConversion"/>
  </si>
  <si>
    <t>총 사 업 비</t>
    <phoneticPr fontId="3" type="noConversion"/>
  </si>
  <si>
    <t>사업개요</t>
    <phoneticPr fontId="3" type="noConversion"/>
  </si>
  <si>
    <t>연   면   적</t>
    <phoneticPr fontId="3" type="noConversion"/>
  </si>
  <si>
    <t>대 지  위 치</t>
    <phoneticPr fontId="3" type="noConversion"/>
  </si>
  <si>
    <t>대 지  면 적</t>
    <phoneticPr fontId="3" type="noConversion"/>
  </si>
  <si>
    <t>규        모</t>
    <phoneticPr fontId="3" type="noConversion"/>
  </si>
  <si>
    <t>제외공사비</t>
    <phoneticPr fontId="3" type="noConversion"/>
  </si>
  <si>
    <t>감리대상공사비</t>
    <phoneticPr fontId="3" type="noConversion"/>
  </si>
  <si>
    <t>대 지 비</t>
    <phoneticPr fontId="3" type="noConversion"/>
  </si>
  <si>
    <t>부가가치세액</t>
    <phoneticPr fontId="3" type="noConversion"/>
  </si>
  <si>
    <t>간 접 비</t>
    <phoneticPr fontId="3" type="noConversion"/>
  </si>
  <si>
    <t>감리제외대상공사비</t>
    <phoneticPr fontId="3" type="noConversion"/>
  </si>
  <si>
    <t>타법적용</t>
    <phoneticPr fontId="3" type="noConversion"/>
  </si>
  <si>
    <t>정보통신</t>
    <phoneticPr fontId="3" type="noConversion"/>
  </si>
  <si>
    <t>소  방</t>
    <phoneticPr fontId="3" type="noConversion"/>
  </si>
  <si>
    <t>전력관리</t>
    <phoneticPr fontId="3" type="noConversion"/>
  </si>
  <si>
    <t>일반관리비</t>
    <phoneticPr fontId="3" type="noConversion"/>
  </si>
  <si>
    <t>이    윤</t>
    <phoneticPr fontId="3" type="noConversion"/>
  </si>
  <si>
    <t>직선보간</t>
    <phoneticPr fontId="3" type="noConversion"/>
  </si>
  <si>
    <t>구  분</t>
    <phoneticPr fontId="3" type="noConversion"/>
  </si>
  <si>
    <t>감리비요율</t>
    <phoneticPr fontId="3" type="noConversion"/>
  </si>
  <si>
    <t>비  고</t>
    <phoneticPr fontId="3" type="noConversion"/>
  </si>
  <si>
    <t>기준 공사비</t>
    <phoneticPr fontId="3" type="noConversion"/>
  </si>
  <si>
    <t xml:space="preserve">* 감리비 요율 직선보간 </t>
    <phoneticPr fontId="3" type="noConversion"/>
  </si>
  <si>
    <t>감리대상 공사비</t>
    <phoneticPr fontId="3" type="noConversion"/>
  </si>
  <si>
    <t>* 감리비 요율 산출근거</t>
    <phoneticPr fontId="3" type="noConversion"/>
  </si>
  <si>
    <t>원</t>
    <phoneticPr fontId="3" type="noConversion"/>
  </si>
  <si>
    <t>=</t>
    <phoneticPr fontId="3" type="noConversion"/>
  </si>
  <si>
    <t>감리비 내역</t>
    <phoneticPr fontId="3" type="noConversion"/>
  </si>
  <si>
    <t>총 사업비 산출 총괄표</t>
    <phoneticPr fontId="3" type="noConversion"/>
  </si>
  <si>
    <t>구 성 비</t>
    <phoneticPr fontId="3" type="noConversion"/>
  </si>
  <si>
    <t xml:space="preserve">* 부가가치세 산출 근거 : </t>
    <phoneticPr fontId="3" type="noConversion"/>
  </si>
  <si>
    <t>(공사비*과세율 + 간접비) * 0.1</t>
    <phoneticPr fontId="3" type="noConversion"/>
  </si>
  <si>
    <t>공 사 비</t>
    <phoneticPr fontId="3" type="noConversion"/>
  </si>
  <si>
    <t>과세율</t>
    <phoneticPr fontId="3" type="noConversion"/>
  </si>
  <si>
    <t>간 접 비</t>
    <phoneticPr fontId="3" type="noConversion"/>
  </si>
  <si>
    <t>부가가치세금액</t>
    <phoneticPr fontId="3" type="noConversion"/>
  </si>
  <si>
    <t>구    분</t>
    <phoneticPr fontId="3" type="noConversion"/>
  </si>
  <si>
    <t>전  체</t>
    <phoneticPr fontId="3" type="noConversion"/>
  </si>
  <si>
    <t>구성비</t>
    <phoneticPr fontId="3" type="noConversion"/>
  </si>
  <si>
    <t>감리대상</t>
    <phoneticPr fontId="3" type="noConversion"/>
  </si>
  <si>
    <t>감리제외</t>
    <phoneticPr fontId="3" type="noConversion"/>
  </si>
  <si>
    <t>타법감리</t>
    <phoneticPr fontId="3" type="noConversion"/>
  </si>
  <si>
    <t>소    계</t>
    <phoneticPr fontId="3" type="noConversion"/>
  </si>
  <si>
    <t>주 1. 순공사비란 : 재료비,노무비,경비를 합한 금액임</t>
    <phoneticPr fontId="3" type="noConversion"/>
  </si>
  <si>
    <t xml:space="preserve">   2. 일반관리비와 이윤에 대한 정의 및 산정방법은 "원가계산에 의한 예정가격 작성준칙(예산회계)"에 따름</t>
    <phoneticPr fontId="3" type="noConversion"/>
  </si>
  <si>
    <t xml:space="preserve">   3. 부가가치 세액의 정의와 산정방법은 "부가가치세법"에 따름 </t>
    <phoneticPr fontId="3" type="noConversion"/>
  </si>
  <si>
    <t xml:space="preserve">   4. 간접비란 사업비 중 총 공사비를 제외한 설계비,감리비, 일반분양시설 경비등 사업비성 경비를 말하며, 세부</t>
    <phoneticPr fontId="3" type="noConversion"/>
  </si>
  <si>
    <t xml:space="preserve">      비목은 다음과 같음</t>
    <phoneticPr fontId="3" type="noConversion"/>
  </si>
  <si>
    <t xml:space="preserve">     - 일반 분양시설 경비 : 시공비,운영비,광고홍보비</t>
    <phoneticPr fontId="3" type="noConversion"/>
  </si>
  <si>
    <t xml:space="preserve">     - 분담금 및 부담금 : 인입분담금(가스,전기,수도,지역난방),진입도로,학교용지확보 부담금</t>
    <phoneticPr fontId="3" type="noConversion"/>
  </si>
  <si>
    <t xml:space="preserve">     - 보상비 : 이주대책비,이주보상비</t>
    <phoneticPr fontId="3" type="noConversion"/>
  </si>
  <si>
    <t xml:space="preserve">     - 기타 사업비성 경비 : 제세공과금,측량.교통.환경영향평가 수수료,취득세,등록세,건물 보존등기비 및 입주관</t>
    <phoneticPr fontId="3" type="noConversion"/>
  </si>
  <si>
    <t xml:space="preserve">       리비,분양.임대보증 및 하자 보증수수료등 기타 사업성 경비</t>
    <phoneticPr fontId="3" type="noConversion"/>
  </si>
  <si>
    <t xml:space="preserve">     - 대지비 : 대지구입비,대지구입관련 금융비용 및 제세공과금</t>
    <phoneticPr fontId="3" type="noConversion"/>
  </si>
  <si>
    <t>비탈면 보호공사</t>
    <phoneticPr fontId="3" type="noConversion"/>
  </si>
  <si>
    <t>석축공사</t>
    <phoneticPr fontId="3" type="noConversion"/>
  </si>
  <si>
    <t>교통안전시설물공사</t>
    <phoneticPr fontId="3" type="noConversion"/>
  </si>
  <si>
    <t>부대시설공사</t>
    <phoneticPr fontId="3" type="noConversion"/>
  </si>
  <si>
    <t>공통가설공사</t>
    <phoneticPr fontId="3" type="noConversion"/>
  </si>
  <si>
    <t>유리공사</t>
    <phoneticPr fontId="3" type="noConversion"/>
  </si>
  <si>
    <t>돌공사</t>
    <phoneticPr fontId="3" type="noConversion"/>
  </si>
  <si>
    <t>잡공사</t>
    <phoneticPr fontId="3" type="noConversion"/>
  </si>
  <si>
    <t>자동제어 설비공사</t>
    <phoneticPr fontId="3" type="noConversion"/>
  </si>
  <si>
    <t>소   계</t>
    <phoneticPr fontId="3" type="noConversion"/>
  </si>
  <si>
    <t>이          윤</t>
    <phoneticPr fontId="3" type="noConversion"/>
  </si>
  <si>
    <t>총 공 사 비 계</t>
    <phoneticPr fontId="3" type="noConversion"/>
  </si>
  <si>
    <t>승강기 공사</t>
    <phoneticPr fontId="3" type="noConversion"/>
  </si>
  <si>
    <t>건축감리 대가(부가세별도)</t>
    <phoneticPr fontId="3" type="noConversion"/>
  </si>
  <si>
    <t>흙막이공사</t>
  </si>
  <si>
    <t>지정 및 기초공사</t>
  </si>
  <si>
    <t>철근콘크리트공사</t>
  </si>
  <si>
    <t>위생기구 공사</t>
  </si>
  <si>
    <t>건축감리 대가(부가세포함)</t>
    <phoneticPr fontId="3" type="noConversion"/>
  </si>
  <si>
    <t>공사비</t>
    <phoneticPr fontId="3" type="noConversion"/>
  </si>
  <si>
    <t>계</t>
    <phoneticPr fontId="3" type="noConversion"/>
  </si>
  <si>
    <t>전</t>
    <phoneticPr fontId="3" type="noConversion"/>
  </si>
  <si>
    <t>후</t>
    <phoneticPr fontId="3" type="noConversion"/>
  </si>
  <si>
    <t>비고</t>
    <phoneticPr fontId="3" type="noConversion"/>
  </si>
  <si>
    <t>총 공사비</t>
    <phoneticPr fontId="3" type="noConversion"/>
  </si>
  <si>
    <t>기준요율</t>
    <phoneticPr fontId="3" type="noConversion"/>
  </si>
  <si>
    <t>총공사비</t>
    <phoneticPr fontId="3" type="noConversion"/>
  </si>
  <si>
    <t>순공사비</t>
    <phoneticPr fontId="3" type="noConversion"/>
  </si>
  <si>
    <t>토목공사</t>
    <phoneticPr fontId="3" type="noConversion"/>
  </si>
  <si>
    <t>건축공사</t>
    <phoneticPr fontId="3" type="noConversion"/>
  </si>
  <si>
    <t>기계설비공사</t>
    <phoneticPr fontId="3" type="noConversion"/>
  </si>
  <si>
    <t>전기공사</t>
    <phoneticPr fontId="3" type="noConversion"/>
  </si>
  <si>
    <t>정보통신공사</t>
    <phoneticPr fontId="3" type="noConversion"/>
  </si>
  <si>
    <t>소방설비공사</t>
    <phoneticPr fontId="3" type="noConversion"/>
  </si>
  <si>
    <t>소  계</t>
    <phoneticPr fontId="3" type="noConversion"/>
  </si>
  <si>
    <t>일반관리비</t>
    <phoneticPr fontId="3" type="noConversion"/>
  </si>
  <si>
    <t>이      윤</t>
    <phoneticPr fontId="3" type="noConversion"/>
  </si>
  <si>
    <t>소      계</t>
    <phoneticPr fontId="3" type="noConversion"/>
  </si>
  <si>
    <t>간 접 비</t>
    <phoneticPr fontId="3" type="noConversion"/>
  </si>
  <si>
    <t>설  계  비</t>
    <phoneticPr fontId="3" type="noConversion"/>
  </si>
  <si>
    <t>감  리  비</t>
    <phoneticPr fontId="3" type="noConversion"/>
  </si>
  <si>
    <t>일반분양시설경비</t>
    <phoneticPr fontId="3" type="noConversion"/>
  </si>
  <si>
    <t>분담금 및 부담금</t>
    <phoneticPr fontId="3" type="noConversion"/>
  </si>
  <si>
    <t>보  상  비</t>
    <phoneticPr fontId="3" type="noConversion"/>
  </si>
  <si>
    <t>기타 사업비성 경비</t>
    <phoneticPr fontId="3" type="noConversion"/>
  </si>
  <si>
    <t>대  지  비</t>
    <phoneticPr fontId="3" type="noConversion"/>
  </si>
  <si>
    <t>총사업비 계</t>
    <phoneticPr fontId="3" type="noConversion"/>
  </si>
  <si>
    <t>적용</t>
    <phoneticPr fontId="3" type="noConversion"/>
  </si>
  <si>
    <t>[표] 주택건설공사 감리비 지급기준 공사비 요율</t>
    <phoneticPr fontId="3" type="noConversion"/>
  </si>
  <si>
    <t>연면적</t>
    <phoneticPr fontId="3" type="noConversion"/>
  </si>
  <si>
    <t>8월</t>
  </si>
  <si>
    <t>9월</t>
  </si>
  <si>
    <t>10월</t>
  </si>
  <si>
    <t>11월</t>
  </si>
  <si>
    <t>12월</t>
  </si>
  <si>
    <t>2월</t>
  </si>
  <si>
    <t>3월</t>
  </si>
  <si>
    <t>4월</t>
  </si>
  <si>
    <t>5월</t>
  </si>
  <si>
    <t>6월</t>
  </si>
  <si>
    <t>7월</t>
  </si>
  <si>
    <t>2007년</t>
  </si>
  <si>
    <t>시공자</t>
    <phoneticPr fontId="3" type="noConversion"/>
  </si>
  <si>
    <t>건축물의 명칭</t>
    <phoneticPr fontId="3" type="noConversion"/>
  </si>
  <si>
    <t>내용</t>
    <phoneticPr fontId="3" type="noConversion"/>
  </si>
  <si>
    <t>사업주체</t>
    <phoneticPr fontId="3" type="noConversion"/>
  </si>
  <si>
    <t>설계자</t>
    <phoneticPr fontId="3" type="noConversion"/>
  </si>
  <si>
    <t>사업기간</t>
    <phoneticPr fontId="3" type="noConversion"/>
  </si>
  <si>
    <t>감리인.월수 산정</t>
    <phoneticPr fontId="3" type="noConversion"/>
  </si>
  <si>
    <t>총공사비(원)</t>
    <phoneticPr fontId="3" type="noConversion"/>
  </si>
  <si>
    <t>감리인.월</t>
    <phoneticPr fontId="3" type="noConversion"/>
  </si>
  <si>
    <t>*감리인.월수 산출근거</t>
    <phoneticPr fontId="3" type="noConversion"/>
  </si>
  <si>
    <t>단위 : 천원</t>
    <phoneticPr fontId="3" type="noConversion"/>
  </si>
  <si>
    <t>평</t>
    <phoneticPr fontId="3" type="noConversion"/>
  </si>
  <si>
    <t>주택건설공사 감리자 모집에 따른 사업개요</t>
    <phoneticPr fontId="3" type="noConversion"/>
  </si>
  <si>
    <t>1. 사업명</t>
    <phoneticPr fontId="3" type="noConversion"/>
  </si>
  <si>
    <t>2. 대지위치</t>
    <phoneticPr fontId="3" type="noConversion"/>
  </si>
  <si>
    <t>3. 사업주체</t>
    <phoneticPr fontId="3" type="noConversion"/>
  </si>
  <si>
    <t>4. 설계자</t>
    <phoneticPr fontId="3" type="noConversion"/>
  </si>
  <si>
    <t>5. 시공자</t>
    <phoneticPr fontId="3" type="noConversion"/>
  </si>
  <si>
    <t>7. 사업개요</t>
    <phoneticPr fontId="3" type="noConversion"/>
  </si>
  <si>
    <t xml:space="preserve">  - 평형별 세대수 및 단위면적</t>
    <phoneticPr fontId="3" type="noConversion"/>
  </si>
  <si>
    <t>세대수</t>
    <phoneticPr fontId="3" type="noConversion"/>
  </si>
  <si>
    <t>전용면적(㎡)</t>
    <phoneticPr fontId="3" type="noConversion"/>
  </si>
  <si>
    <t>공급면적(㎡)</t>
    <phoneticPr fontId="3" type="noConversion"/>
  </si>
  <si>
    <t>8. 사업비</t>
    <phoneticPr fontId="3" type="noConversion"/>
  </si>
  <si>
    <t>구     분</t>
    <phoneticPr fontId="3" type="noConversion"/>
  </si>
  <si>
    <t>금     액</t>
    <phoneticPr fontId="3" type="noConversion"/>
  </si>
  <si>
    <t>감리대상 공사비</t>
    <phoneticPr fontId="3" type="noConversion"/>
  </si>
  <si>
    <t>감리대상 제외공사비</t>
    <phoneticPr fontId="3" type="noConversion"/>
  </si>
  <si>
    <t>0 천원</t>
    <phoneticPr fontId="3" type="noConversion"/>
  </si>
  <si>
    <t>타법감리 대상공사비</t>
    <phoneticPr fontId="3" type="noConversion"/>
  </si>
  <si>
    <t>총   계</t>
    <phoneticPr fontId="3" type="noConversion"/>
  </si>
  <si>
    <t xml:space="preserve">  - 타법감리, 이윤 및 일반관리비</t>
    <phoneticPr fontId="3" type="noConversion"/>
  </si>
  <si>
    <t>전 기 공 사 비</t>
    <phoneticPr fontId="3" type="noConversion"/>
  </si>
  <si>
    <t>정보통신 공사비</t>
    <phoneticPr fontId="3" type="noConversion"/>
  </si>
  <si>
    <t>소 방 공 사 비</t>
    <phoneticPr fontId="3" type="noConversion"/>
  </si>
  <si>
    <t>이윤 및 일반관리비</t>
    <phoneticPr fontId="3" type="noConversion"/>
  </si>
  <si>
    <t>※ 감리대가 산정</t>
    <phoneticPr fontId="3" type="noConversion"/>
  </si>
  <si>
    <t xml:space="preserve">  1. 건축공사 감리비</t>
    <phoneticPr fontId="3" type="noConversion"/>
  </si>
  <si>
    <t>100억원</t>
    <phoneticPr fontId="3" type="noConversion"/>
  </si>
  <si>
    <t>200억원</t>
    <phoneticPr fontId="3" type="noConversion"/>
  </si>
  <si>
    <t>500억원</t>
    <phoneticPr fontId="3" type="noConversion"/>
  </si>
  <si>
    <t>1,000억원</t>
    <phoneticPr fontId="3" type="noConversion"/>
  </si>
  <si>
    <t>2,000억원</t>
    <phoneticPr fontId="3" type="noConversion"/>
  </si>
  <si>
    <t>3,000억원</t>
    <phoneticPr fontId="3" type="noConversion"/>
  </si>
  <si>
    <t>감리인.월</t>
    <phoneticPr fontId="3" type="noConversion"/>
  </si>
  <si>
    <t>300억원</t>
    <phoneticPr fontId="3" type="noConversion"/>
  </si>
  <si>
    <t>비 고</t>
    <phoneticPr fontId="3" type="noConversion"/>
  </si>
  <si>
    <t>요 율</t>
    <phoneticPr fontId="3" type="noConversion"/>
  </si>
  <si>
    <t>※ 총 인.월수(직선보간법으로 산정, 소수점3째자리에서 반올림)</t>
    <phoneticPr fontId="3" type="noConversion"/>
  </si>
  <si>
    <t>※ 공사비 요율(직선보간법으로 산정, 소수점5째자리에서 반올림)</t>
    <phoneticPr fontId="3" type="noConversion"/>
  </si>
  <si>
    <r>
      <t xml:space="preserve">                       126,478,217 × 2.6594% × 1.1 ≒ </t>
    </r>
    <r>
      <rPr>
        <b/>
        <sz val="12"/>
        <color indexed="8"/>
        <rFont val="돋움"/>
        <family val="3"/>
        <charset val="129"/>
      </rPr>
      <t>3,699,917천원(VAT포함)</t>
    </r>
    <phoneticPr fontId="3" type="noConversion"/>
  </si>
  <si>
    <t xml:space="preserve">  2. 타법공사 관리비</t>
    <phoneticPr fontId="3" type="noConversion"/>
  </si>
  <si>
    <t xml:space="preserve">    - 전기공사중 감리대상 공사비</t>
    <phoneticPr fontId="3" type="noConversion"/>
  </si>
  <si>
    <t xml:space="preserve">       * 근거 : 전력기술 관리법 운영요령</t>
    <phoneticPr fontId="3" type="noConversion"/>
  </si>
  <si>
    <t xml:space="preserve">                  산업자원부 고시 제 2005-7호(제12호) 의거</t>
    <phoneticPr fontId="3" type="noConversion"/>
  </si>
  <si>
    <t xml:space="preserve">                  적용일 : 2005년 4월 1일 부터 시행</t>
    <phoneticPr fontId="3" type="noConversion"/>
  </si>
  <si>
    <t xml:space="preserve">                  - 정액가산방식 : 공동주택 300세대 이하 시만 적용</t>
    <phoneticPr fontId="3" type="noConversion"/>
  </si>
  <si>
    <t xml:space="preserve">        - 임금적용 : 고급 감리원 임금적용</t>
    <phoneticPr fontId="3" type="noConversion"/>
  </si>
  <si>
    <t xml:space="preserve">                                               674,000천원(VAT포함)</t>
    <phoneticPr fontId="3" type="noConversion"/>
  </si>
  <si>
    <t xml:space="preserve">                                               37,400천원(VAT포함)</t>
    <phoneticPr fontId="3" type="noConversion"/>
  </si>
  <si>
    <t xml:space="preserve">    </t>
    <phoneticPr fontId="3" type="noConversion"/>
  </si>
  <si>
    <t xml:space="preserve">                                      1,335,800천원(VAT포함)</t>
    <phoneticPr fontId="3" type="noConversion"/>
  </si>
  <si>
    <t>정 보 통 신  감 리 용 역 비  산 출 내 역 서</t>
    <phoneticPr fontId="3" type="noConversion"/>
  </si>
  <si>
    <t>1. 용  역   명 :</t>
    <phoneticPr fontId="3" type="noConversion"/>
  </si>
  <si>
    <t>2. 사 업 기 간 :</t>
    <phoneticPr fontId="3" type="noConversion"/>
  </si>
  <si>
    <t>3. 산 출 근 거 :</t>
    <phoneticPr fontId="3" type="noConversion"/>
  </si>
  <si>
    <t>정보통신공사비</t>
    <phoneticPr fontId="3" type="noConversion"/>
  </si>
  <si>
    <t>⊙ 엔지니어링기술진흥법 : 엔지니어링사업대가의 기준 적용</t>
    <phoneticPr fontId="3" type="noConversion"/>
  </si>
  <si>
    <t>(과학기술부공고 제2004-123호, '04.12.30)</t>
    <phoneticPr fontId="3" type="noConversion"/>
  </si>
  <si>
    <t>4. 산 출 내 역</t>
    <phoneticPr fontId="3" type="noConversion"/>
  </si>
  <si>
    <r>
      <t>가) 감 리 대 가</t>
    </r>
    <r>
      <rPr>
        <sz val="13"/>
        <rFont val="굴림체"/>
        <family val="3"/>
        <charset val="129"/>
      </rPr>
      <t xml:space="preserve">(관련근거:제12조)  </t>
    </r>
    <phoneticPr fontId="3" type="noConversion"/>
  </si>
  <si>
    <t xml:space="preserve">(1)적용기준: 통신부문의 요율[별표2] </t>
    <phoneticPr fontId="3" type="noConversion"/>
  </si>
  <si>
    <t>(2)공사감리요율:</t>
    <phoneticPr fontId="3" type="noConversion"/>
  </si>
  <si>
    <t>억원이하</t>
    <phoneticPr fontId="3" type="noConversion"/>
  </si>
  <si>
    <t xml:space="preserve"> -</t>
    <phoneticPr fontId="3" type="noConversion"/>
  </si>
  <si>
    <t>(3)산출내용</t>
    <phoneticPr fontId="3" type="noConversion"/>
  </si>
  <si>
    <t>y</t>
    <phoneticPr fontId="3" type="noConversion"/>
  </si>
  <si>
    <t>y1</t>
    <phoneticPr fontId="3" type="noConversion"/>
  </si>
  <si>
    <t>-</t>
    <phoneticPr fontId="3" type="noConversion"/>
  </si>
  <si>
    <t>(x - x2)  × (y1 - y2)</t>
    <phoneticPr fontId="3" type="noConversion"/>
  </si>
  <si>
    <t>[%]</t>
    <phoneticPr fontId="3" type="noConversion"/>
  </si>
  <si>
    <t>x1 - x2</t>
    <phoneticPr fontId="3" type="noConversion"/>
  </si>
  <si>
    <t>※</t>
    <phoneticPr fontId="3" type="noConversion"/>
  </si>
  <si>
    <t>x : 당해금액</t>
    <phoneticPr fontId="3" type="noConversion"/>
  </si>
  <si>
    <t>x1 : 큰금액</t>
    <phoneticPr fontId="3" type="noConversion"/>
  </si>
  <si>
    <t>x2 : 작은금액</t>
    <phoneticPr fontId="3" type="noConversion"/>
  </si>
  <si>
    <t>y : 당해공사비요율</t>
    <phoneticPr fontId="3" type="noConversion"/>
  </si>
  <si>
    <t>y1 : 작은금액요율</t>
    <phoneticPr fontId="3" type="noConversion"/>
  </si>
  <si>
    <t>y2 : 큰금액요율</t>
    <phoneticPr fontId="3" type="noConversion"/>
  </si>
  <si>
    <t>(</t>
    <phoneticPr fontId="3" type="noConversion"/>
  </si>
  <si>
    <t>억</t>
    <phoneticPr fontId="3" type="noConversion"/>
  </si>
  <si>
    <t>)</t>
    <phoneticPr fontId="3" type="noConversion"/>
  </si>
  <si>
    <t>×</t>
    <phoneticPr fontId="3" type="noConversion"/>
  </si>
  <si>
    <t>(4) 감리대가</t>
    <phoneticPr fontId="3" type="noConversion"/>
  </si>
  <si>
    <t xml:space="preserve"> ×</t>
    <phoneticPr fontId="3" type="noConversion"/>
  </si>
  <si>
    <t>5. 기 초 금 액 :</t>
    <phoneticPr fontId="3" type="noConversion"/>
  </si>
  <si>
    <t>(VAT별도)</t>
    <phoneticPr fontId="3" type="noConversion"/>
  </si>
  <si>
    <t xml:space="preserve">■ 엔지니어링 기술자 노임단가는 한국엔지니어링진흥협회가 통계법 제15조 규정에 의하여 공표한 노임단가임. </t>
    <phoneticPr fontId="3" type="noConversion"/>
  </si>
  <si>
    <t>용  역  명</t>
    <phoneticPr fontId="3" type="noConversion"/>
  </si>
  <si>
    <t>공 사 개 요</t>
    <phoneticPr fontId="3" type="noConversion"/>
  </si>
  <si>
    <t>적         요</t>
    <phoneticPr fontId="3" type="noConversion"/>
  </si>
  <si>
    <t>구         분</t>
    <phoneticPr fontId="3" type="noConversion"/>
  </si>
  <si>
    <t xml:space="preserve"> 1.  직접인건비</t>
    <phoneticPr fontId="3" type="noConversion"/>
  </si>
  <si>
    <t xml:space="preserve"> 배치되는 감리원수(인*월) * 등급별 감리원 월임금 </t>
    <phoneticPr fontId="3" type="noConversion"/>
  </si>
  <si>
    <r>
      <t>고급</t>
    </r>
    <r>
      <rPr>
        <sz val="9"/>
        <rFont val="굴림"/>
        <family val="3"/>
        <charset val="129"/>
      </rPr>
      <t>이상</t>
    </r>
    <phoneticPr fontId="3" type="noConversion"/>
  </si>
  <si>
    <t xml:space="preserve"> 2.  제   경   비 </t>
    <phoneticPr fontId="3" type="noConversion"/>
  </si>
  <si>
    <t>직접인건비의 110~120%</t>
    <phoneticPr fontId="3" type="noConversion"/>
  </si>
  <si>
    <t>제28조</t>
    <phoneticPr fontId="3" type="noConversion"/>
  </si>
  <si>
    <t xml:space="preserve"> 3.  기   술   료</t>
    <phoneticPr fontId="3" type="noConversion"/>
  </si>
  <si>
    <t>(직접인건비+제경비)의 20~40%</t>
    <phoneticPr fontId="3" type="noConversion"/>
  </si>
  <si>
    <t>제29조</t>
    <phoneticPr fontId="3" type="noConversion"/>
  </si>
  <si>
    <t xml:space="preserve"> 4.  직 접 경 비</t>
    <phoneticPr fontId="3" type="noConversion"/>
  </si>
  <si>
    <t xml:space="preserve">가) + 나) + 다) + 라)  </t>
    <phoneticPr fontId="3" type="noConversion"/>
  </si>
  <si>
    <t>제27조</t>
    <phoneticPr fontId="3" type="noConversion"/>
  </si>
  <si>
    <t xml:space="preserve">     가) 주   재   비</t>
    <phoneticPr fontId="3" type="noConversion"/>
  </si>
  <si>
    <t>상주 직접인건비의 30%</t>
    <phoneticPr fontId="3" type="noConversion"/>
  </si>
  <si>
    <t xml:space="preserve">     나) 출 장 여 비</t>
    <phoneticPr fontId="3" type="noConversion"/>
  </si>
  <si>
    <t>비상주 직접인건비의 10%</t>
    <phoneticPr fontId="3" type="noConversion"/>
  </si>
  <si>
    <t xml:space="preserve">     다) 도서인쇄비</t>
    <phoneticPr fontId="3" type="noConversion"/>
  </si>
  <si>
    <t>제외</t>
    <phoneticPr fontId="3" type="noConversion"/>
  </si>
  <si>
    <t xml:space="preserve">     라) 현지차량비</t>
    <phoneticPr fontId="3" type="noConversion"/>
  </si>
  <si>
    <t xml:space="preserve"> 5.  합         계</t>
    <phoneticPr fontId="3" type="noConversion"/>
  </si>
  <si>
    <t xml:space="preserve">1 + 2 + 3 + 4  </t>
    <phoneticPr fontId="3" type="noConversion"/>
  </si>
  <si>
    <t xml:space="preserve"> 6.  기 초 금 액</t>
    <phoneticPr fontId="3" type="noConversion"/>
  </si>
  <si>
    <t>VAT 별도</t>
    <phoneticPr fontId="3" type="noConversion"/>
  </si>
  <si>
    <t>감리원 배치기준 : 소방시설공사업법 제18조, 동법시행령 11조 및 동법시행규칙 제17조</t>
  </si>
  <si>
    <t>소 방 감 리 용 역 비  산 출 내 역 서</t>
    <phoneticPr fontId="3" type="noConversion"/>
  </si>
  <si>
    <t>소방감리 대가산정기준 : 소방시설공사업법 제25조 및 소방시설공사업법시행규칙 제21조</t>
    <phoneticPr fontId="3" type="noConversion"/>
  </si>
  <si>
    <t xml:space="preserve">                                     </t>
    <phoneticPr fontId="3" type="noConversion"/>
  </si>
  <si>
    <t xml:space="preserve">                            엔지니어링기술진흥법 제10조 중  "실비정액가산방식"  적용</t>
    <phoneticPr fontId="3" type="noConversion"/>
  </si>
  <si>
    <t>산   출   내   역</t>
    <phoneticPr fontId="3" type="noConversion"/>
  </si>
  <si>
    <t>제14조</t>
    <phoneticPr fontId="3" type="noConversion"/>
  </si>
  <si>
    <t>상   주</t>
    <phoneticPr fontId="3" type="noConversion"/>
  </si>
  <si>
    <t>인,</t>
    <phoneticPr fontId="3" type="noConversion"/>
  </si>
  <si>
    <t>개월,</t>
    <phoneticPr fontId="3" type="noConversion"/>
  </si>
  <si>
    <t>일/월,</t>
    <phoneticPr fontId="3" type="noConversion"/>
  </si>
  <si>
    <t>비상주</t>
    <phoneticPr fontId="3" type="noConversion"/>
  </si>
  <si>
    <t>특급(기술사)</t>
    <phoneticPr fontId="3" type="noConversion"/>
  </si>
  <si>
    <t>제16조</t>
    <phoneticPr fontId="3" type="noConversion"/>
  </si>
  <si>
    <t>제17조</t>
    <phoneticPr fontId="3" type="noConversion"/>
  </si>
  <si>
    <t>제15조</t>
    <phoneticPr fontId="3" type="noConversion"/>
  </si>
  <si>
    <t xml:space="preserve">  - 대지면적 : </t>
    <phoneticPr fontId="3" type="noConversion"/>
  </si>
  <si>
    <t xml:space="preserve">  - 연 면  적 : </t>
    <phoneticPr fontId="3" type="noConversion"/>
  </si>
  <si>
    <t xml:space="preserve">  - 총사업비 :  </t>
    <phoneticPr fontId="3" type="noConversion"/>
  </si>
  <si>
    <t>천원</t>
    <phoneticPr fontId="3" type="noConversion"/>
  </si>
  <si>
    <t xml:space="preserve">  - 대 지  비 :   </t>
    <phoneticPr fontId="3" type="noConversion"/>
  </si>
  <si>
    <t xml:space="preserve">  - 순공사비 :  </t>
    <phoneticPr fontId="3" type="noConversion"/>
  </si>
  <si>
    <t xml:space="preserve">  - 건축공사비 : 126,478,217</t>
    <phoneticPr fontId="3" type="noConversion"/>
  </si>
  <si>
    <t xml:space="preserve"> 천원(VAT제외금액)</t>
  </si>
  <si>
    <t xml:space="preserve">→ 직선보간법 : </t>
    <phoneticPr fontId="3" type="noConversion"/>
  </si>
  <si>
    <t>→ 직선보간법 :</t>
    <phoneticPr fontId="3" type="noConversion"/>
  </si>
  <si>
    <t xml:space="preserve">※ 감리비산정 : </t>
    <phoneticPr fontId="3" type="noConversion"/>
  </si>
  <si>
    <t>천원(VAT미포함)</t>
    <phoneticPr fontId="3" type="noConversion"/>
  </si>
  <si>
    <t>천원(VAT포함)</t>
    <phoneticPr fontId="3" type="noConversion"/>
  </si>
  <si>
    <t>           요율</t>
  </si>
  <si>
    <t>  공사비</t>
  </si>
  <si>
    <t>업  무  별  요  율(%)</t>
  </si>
  <si>
    <t>기본설계</t>
  </si>
  <si>
    <t>실시설계</t>
  </si>
  <si>
    <t>공사감리</t>
  </si>
  <si>
    <t>계</t>
  </si>
  <si>
    <t>1천만원이하</t>
  </si>
  <si>
    <t>2천만원이하</t>
  </si>
  <si>
    <t>3천만원이하</t>
  </si>
  <si>
    <t>5천만원이하</t>
  </si>
  <si>
    <t>1억원이하</t>
  </si>
  <si>
    <t>2억원이하</t>
  </si>
  <si>
    <t>3억원이하</t>
  </si>
  <si>
    <t>5억원이하</t>
  </si>
  <si>
    <t>10억원이하</t>
  </si>
  <si>
    <t>20억원이하</t>
  </si>
  <si>
    <t>30억원이하</t>
  </si>
  <si>
    <t>50억원이하</t>
  </si>
  <si>
    <t>100억원이하</t>
  </si>
  <si>
    <t>200억원이하</t>
  </si>
  <si>
    <t>300억원이하</t>
  </si>
  <si>
    <t>500억원이하</t>
  </si>
  <si>
    <t>1,000억원이하</t>
  </si>
  <si>
    <t>2,000억원이하</t>
  </si>
  <si>
    <t>3,000억원이하</t>
  </si>
  <si>
    <t>5,000억원이하</t>
  </si>
  <si>
    <r>
      <t>■ "공사감리" - 비상주 감리 적용</t>
    </r>
    <r>
      <rPr>
        <sz val="11"/>
        <rFont val="굴림"/>
        <family val="3"/>
        <charset val="129"/>
      </rPr>
      <t xml:space="preserve"> </t>
    </r>
    <phoneticPr fontId="3" type="noConversion"/>
  </si>
  <si>
    <r>
      <t xml:space="preserve">
 </t>
    </r>
    <r>
      <rPr>
        <u/>
        <sz val="10"/>
        <rFont val="굴림"/>
        <family val="3"/>
        <charset val="129"/>
      </rPr>
      <t>연면적</t>
    </r>
    <phoneticPr fontId="3" type="noConversion"/>
  </si>
  <si>
    <t xml:space="preserve"> 아파트 7개동, 500세대, 지하2층, 지상25층 / 지하주차장 및 부대·복리시설, 32개월</t>
    <phoneticPr fontId="3" type="noConversion"/>
  </si>
  <si>
    <r>
      <t xml:space="preserve">□ </t>
    </r>
    <r>
      <rPr>
        <u/>
        <sz val="10"/>
        <rFont val="굴림체"/>
        <family val="3"/>
        <charset val="129"/>
      </rPr>
      <t>감리원 등급별 노임단가</t>
    </r>
    <r>
      <rPr>
        <sz val="10"/>
        <rFont val="굴림체"/>
        <family val="3"/>
        <charset val="129"/>
      </rPr>
      <t>는 한국엔지니어링 진흥협회가 통계법 제15조 규정에 의하여 공표됨.</t>
    </r>
    <phoneticPr fontId="3" type="noConversion"/>
  </si>
  <si>
    <r>
      <t>별표</t>
    </r>
    <r>
      <rPr>
        <sz val="10"/>
        <color indexed="8"/>
        <rFont val="Arial Unicode MS"/>
        <family val="3"/>
      </rPr>
      <t xml:space="preserve"> 4] &lt;</t>
    </r>
    <r>
      <rPr>
        <sz val="10"/>
        <color indexed="8"/>
        <rFont val="돋움"/>
        <family val="3"/>
        <charset val="129"/>
      </rPr>
      <t>개정</t>
    </r>
    <r>
      <rPr>
        <sz val="10"/>
        <color indexed="8"/>
        <rFont val="Arial Unicode MS"/>
        <family val="3"/>
      </rPr>
      <t xml:space="preserve"> 2007.1.24&gt;                                                   </t>
    </r>
  </si>
  <si>
    <t xml:space="preserve">                                                                              </t>
  </si>
  <si>
    <r>
      <t xml:space="preserve">  </t>
    </r>
    <r>
      <rPr>
        <sz val="10"/>
        <color indexed="8"/>
        <rFont val="돋움"/>
        <family val="3"/>
        <charset val="129"/>
      </rPr>
      <t>소방공사감리원의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배치기준</t>
    </r>
    <r>
      <rPr>
        <sz val="10"/>
        <color indexed="8"/>
        <rFont val="Arial Unicode MS"/>
        <family val="3"/>
      </rPr>
      <t>(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11</t>
    </r>
    <r>
      <rPr>
        <sz val="10"/>
        <color indexed="8"/>
        <rFont val="돋움"/>
        <family val="3"/>
        <charset val="129"/>
      </rPr>
      <t>조관련</t>
    </r>
    <r>
      <rPr>
        <sz val="10"/>
        <color indexed="8"/>
        <rFont val="Arial Unicode MS"/>
        <family val="3"/>
      </rPr>
      <t xml:space="preserve">)                                       </t>
    </r>
  </si>
  <si>
    <r>
      <t xml:space="preserve">  1.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20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또는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지하층을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포함한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층수가</t>
    </r>
    <r>
      <rPr>
        <sz val="10"/>
        <color indexed="8"/>
        <rFont val="Arial Unicode MS"/>
        <family val="3"/>
      </rPr>
      <t xml:space="preserve">   </t>
    </r>
  </si>
  <si>
    <r>
      <t xml:space="preserve">  40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</si>
  <si>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중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소방기술사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자격을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취득한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</t>
    </r>
  </si>
  <si>
    <r>
      <t xml:space="preserve">  2. </t>
    </r>
    <r>
      <rPr>
        <sz val="10"/>
        <color indexed="8"/>
        <rFont val="돋움"/>
        <family val="3"/>
        <charset val="129"/>
      </rPr>
      <t>연면적이</t>
    </r>
    <r>
      <rPr>
        <sz val="10"/>
        <color indexed="8"/>
        <rFont val="Arial Unicode MS"/>
        <family val="3"/>
      </rPr>
      <t xml:space="preserve"> 3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</t>
    </r>
    <r>
      <rPr>
        <sz val="10"/>
        <color indexed="8"/>
        <rFont val="Arial Unicode MS"/>
        <family val="3"/>
      </rPr>
      <t xml:space="preserve"> 20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</t>
    </r>
    <r>
      <rPr>
        <sz val="10"/>
        <color indexed="8"/>
        <rFont val="Arial Unicode MS"/>
        <family val="3"/>
      </rPr>
      <t>(</t>
    </r>
    <r>
      <rPr>
        <sz val="10"/>
        <color indexed="8"/>
        <rFont val="돋움"/>
        <family val="3"/>
        <charset val="129"/>
      </rPr>
      <t>아파트</t>
    </r>
    <r>
      <rPr>
        <sz val="10"/>
        <color indexed="8"/>
        <rFont val="Arial Unicode MS"/>
        <family val="3"/>
      </rPr>
      <t xml:space="preserve">    </t>
    </r>
  </si>
  <si>
    <r>
      <t xml:space="preserve">  </t>
    </r>
    <r>
      <rPr>
        <sz val="10"/>
        <color indexed="8"/>
        <rFont val="돋움"/>
        <family val="3"/>
        <charset val="129"/>
      </rPr>
      <t>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제외한다</t>
    </r>
    <r>
      <rPr>
        <sz val="10"/>
        <color indexed="8"/>
        <rFont val="Arial Unicode MS"/>
        <family val="3"/>
      </rPr>
      <t xml:space="preserve">) </t>
    </r>
    <r>
      <rPr>
        <sz val="10"/>
        <color indexed="8"/>
        <rFont val="돋움"/>
        <family val="3"/>
        <charset val="129"/>
      </rPr>
      <t>또는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지하층을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포함한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층수가</t>
    </r>
    <r>
      <rPr>
        <sz val="10"/>
        <color indexed="8"/>
        <rFont val="Arial Unicode MS"/>
        <family val="3"/>
      </rPr>
      <t xml:space="preserve"> 16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</t>
    </r>
    <r>
      <rPr>
        <sz val="10"/>
        <color indexed="8"/>
        <rFont val="Arial Unicode MS"/>
        <family val="3"/>
      </rPr>
      <t xml:space="preserve"> 40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</si>
  <si>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</si>
  <si>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                          </t>
    </r>
  </si>
  <si>
    <r>
      <t xml:space="preserve">  3. </t>
    </r>
    <r>
      <rPr>
        <sz val="10"/>
        <color indexed="8"/>
        <rFont val="돋움"/>
        <family val="3"/>
        <charset val="129"/>
      </rPr>
      <t>물분무등소화설비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또는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제연설비가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설치되는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특정소방대상물이나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3    </t>
    </r>
  </si>
  <si>
    <r>
      <t xml:space="preserve">  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아파트의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</t>
    </r>
    <r>
      <rPr>
        <sz val="10"/>
        <color indexed="8"/>
        <rFont val="Arial Unicode MS"/>
        <family val="3"/>
      </rPr>
      <t xml:space="preserve">      </t>
    </r>
  </si>
  <si>
    <r>
      <t xml:space="preserve">  </t>
    </r>
    <r>
      <rPr>
        <sz val="10"/>
        <color indexed="8"/>
        <rFont val="돋움"/>
        <family val="3"/>
        <charset val="129"/>
      </rPr>
      <t>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고급감리원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     </t>
    </r>
  </si>
  <si>
    <r>
      <t xml:space="preserve">  4.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5</t>
    </r>
    <r>
      <rPr>
        <sz val="10"/>
        <color indexed="8"/>
        <rFont val="돋움"/>
        <family val="3"/>
        <charset val="129"/>
      </rPr>
      <t>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</t>
    </r>
    <r>
      <rPr>
        <sz val="10"/>
        <color indexed="8"/>
        <rFont val="Arial Unicode MS"/>
        <family val="3"/>
      </rPr>
      <t xml:space="preserve"> 3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미만이거나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지하층을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포함한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층수</t>
    </r>
    <r>
      <rPr>
        <sz val="10"/>
        <color indexed="8"/>
        <rFont val="Arial Unicode MS"/>
        <family val="3"/>
      </rPr>
      <t xml:space="preserve">    </t>
    </r>
  </si>
  <si>
    <r>
      <t xml:space="preserve">  </t>
    </r>
    <r>
      <rPr>
        <sz val="10"/>
        <color indexed="8"/>
        <rFont val="돋움"/>
        <family val="3"/>
        <charset val="129"/>
      </rPr>
      <t>가</t>
    </r>
    <r>
      <rPr>
        <sz val="10"/>
        <color indexed="8"/>
        <rFont val="Arial Unicode MS"/>
        <family val="3"/>
      </rPr>
      <t xml:space="preserve"> 16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</si>
  <si>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중급감리원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   </t>
    </r>
  </si>
  <si>
    <r>
      <t xml:space="preserve">  5.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5</t>
    </r>
    <r>
      <rPr>
        <sz val="10"/>
        <color indexed="8"/>
        <rFont val="돋움"/>
        <family val="3"/>
        <charset val="129"/>
      </rPr>
      <t>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   </t>
    </r>
  </si>
  <si>
    <r>
      <t xml:space="preserve">  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초급감리원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</t>
    </r>
  </si>
  <si>
    <r>
      <t xml:space="preserve">  6. </t>
    </r>
    <r>
      <rPr>
        <sz val="10"/>
        <color indexed="8"/>
        <rFont val="돋움"/>
        <family val="3"/>
        <charset val="129"/>
      </rPr>
      <t>지하구의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초급감리원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</t>
    </r>
    <r>
      <rPr>
        <sz val="10"/>
        <color indexed="8"/>
        <rFont val="Arial Unicode MS"/>
        <family val="3"/>
      </rPr>
      <t xml:space="preserve">    </t>
    </r>
  </si>
  <si>
    <r>
      <t xml:space="preserve">  </t>
    </r>
    <r>
      <rPr>
        <sz val="10"/>
        <color indexed="8"/>
        <rFont val="돋움"/>
        <family val="3"/>
        <charset val="129"/>
      </rPr>
      <t>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</si>
  <si>
    <t>구 분</t>
  </si>
  <si>
    <t>건설 및 기타</t>
  </si>
  <si>
    <t>2002년</t>
  </si>
  <si>
    <t>2003년</t>
  </si>
  <si>
    <t>2004년</t>
  </si>
  <si>
    <t>2005년</t>
  </si>
  <si>
    <t>2006년</t>
  </si>
  <si>
    <t>기 술 사</t>
  </si>
  <si>
    <t>특급기술자</t>
  </si>
  <si>
    <t>고급기술자</t>
  </si>
  <si>
    <t>중급기술자</t>
  </si>
  <si>
    <t>초급기술자</t>
  </si>
  <si>
    <t>고급기능사</t>
  </si>
  <si>
    <t>중급기능사</t>
  </si>
  <si>
    <t>초급기능사</t>
  </si>
  <si>
    <t>상주감리원 직접인건비의 10%</t>
    <phoneticPr fontId="3" type="noConversion"/>
  </si>
  <si>
    <t xml:space="preserve">  - 사업규모 : </t>
    <phoneticPr fontId="3" type="noConversion"/>
  </si>
  <si>
    <t xml:space="preserve">  - 공사기간 : </t>
    <phoneticPr fontId="3" type="noConversion"/>
  </si>
  <si>
    <t xml:space="preserve">  - 건축면적 :</t>
    <phoneticPr fontId="3" type="noConversion"/>
  </si>
  <si>
    <t>2008.4.1변경</t>
    <phoneticPr fontId="3" type="noConversion"/>
  </si>
  <si>
    <t>형별</t>
    <phoneticPr fontId="3" type="noConversion"/>
  </si>
  <si>
    <t xml:space="preserve">      * 당 현장 규모가 648세대 이므로 실비정액 가산 방식 적용(300~800세대 범위)</t>
    <phoneticPr fontId="3" type="noConversion"/>
  </si>
  <si>
    <t>일임금액</t>
  </si>
  <si>
    <t>특급감리원</t>
  </si>
  <si>
    <t>고급감리원</t>
  </si>
  <si>
    <t>중급감리원</t>
  </si>
  <si>
    <t>초급감리원</t>
  </si>
  <si>
    <t>2008.6.3</t>
    <phoneticPr fontId="3" type="noConversion"/>
  </si>
  <si>
    <t>한국엔지니어링진흥협회 공고-엔지니어링업체임금실태조사보고서</t>
    <phoneticPr fontId="3" type="noConversion"/>
  </si>
  <si>
    <t>2008.1.1적용</t>
    <phoneticPr fontId="3" type="noConversion"/>
  </si>
  <si>
    <r>
      <t xml:space="preserve"> ■ </t>
    </r>
    <r>
      <rPr>
        <sz val="10"/>
        <color indexed="12"/>
        <rFont val="굴림"/>
        <family val="3"/>
        <charset val="129"/>
      </rPr>
      <t>공사비요율에 의한 방식</t>
    </r>
    <r>
      <rPr>
        <sz val="10"/>
        <rFont val="굴림"/>
        <family val="3"/>
        <charset val="129"/>
      </rPr>
      <t xml:space="preserve"> - 공사비에 일정 요율을 곱하여 산출한 금액에 제10조의 규정에 의한 추가업무비용과
    </t>
    </r>
    <r>
      <rPr>
        <u/>
        <sz val="10"/>
        <color indexed="10"/>
        <rFont val="굴림"/>
        <family val="3"/>
        <charset val="129"/>
      </rPr>
      <t>부가가치세를 합산하여 대가를 산출</t>
    </r>
    <r>
      <rPr>
        <sz val="10"/>
        <rFont val="굴림"/>
        <family val="3"/>
        <charset val="129"/>
      </rPr>
      <t>하는 방식</t>
    </r>
    <r>
      <rPr>
        <sz val="10"/>
        <color indexed="12"/>
        <rFont val="굴림"/>
        <family val="3"/>
        <charset val="129"/>
      </rPr>
      <t>(1.건설부분 엔지니어링사업 2.통신·정보처리부문중 정보통신분</t>
    </r>
    <r>
      <rPr>
        <sz val="10"/>
        <rFont val="굴림"/>
        <family val="3"/>
        <charset val="129"/>
      </rPr>
      <t xml:space="preserve">
    </t>
    </r>
    <r>
      <rPr>
        <sz val="10"/>
        <color indexed="12"/>
        <rFont val="굴림"/>
        <family val="3"/>
        <charset val="129"/>
      </rPr>
      <t>야의 엔지니어링사업 3.산업관리부문중 소방설비분야의 엔지니어링사업 /</t>
    </r>
    <r>
      <rPr>
        <u/>
        <sz val="10"/>
        <rFont val="굴림"/>
        <family val="3"/>
        <charset val="129"/>
      </rPr>
      <t xml:space="preserve"> </t>
    </r>
    <r>
      <rPr>
        <u/>
        <sz val="10"/>
        <color indexed="10"/>
        <rFont val="굴림"/>
        <family val="3"/>
        <charset val="129"/>
      </rPr>
      <t xml:space="preserve">2항에 규정된 엔지니어링사업의 경
    우에도 "공사감리"는 실비정액가산방식에 따라 대가를 산출할 수 있다.) </t>
    </r>
    <phoneticPr fontId="3" type="noConversion"/>
  </si>
  <si>
    <t>오피스텔</t>
    <phoneticPr fontId="3" type="noConversion"/>
  </si>
  <si>
    <t>업무</t>
    <phoneticPr fontId="3" type="noConversion"/>
  </si>
  <si>
    <t>근생</t>
    <phoneticPr fontId="3" type="noConversion"/>
  </si>
  <si>
    <t>비과세</t>
    <phoneticPr fontId="3" type="noConversion"/>
  </si>
  <si>
    <t>고급</t>
    <phoneticPr fontId="3" type="noConversion"/>
  </si>
  <si>
    <t>26조,별표2의2</t>
    <phoneticPr fontId="3" type="noConversion"/>
  </si>
  <si>
    <t>28조</t>
    <phoneticPr fontId="3" type="noConversion"/>
  </si>
  <si>
    <t xml:space="preserve">  - 공사(전기)기간 : 2015. 8. ~ 2016. 9.(14개월)</t>
    <phoneticPr fontId="3" type="noConversion"/>
  </si>
  <si>
    <t>용도</t>
    <phoneticPr fontId="3" type="noConversion"/>
  </si>
  <si>
    <t>면적</t>
    <phoneticPr fontId="3" type="noConversion"/>
  </si>
  <si>
    <t>주거 과세</t>
    <phoneticPr fontId="3" type="noConversion"/>
  </si>
  <si>
    <t>주거 비과세</t>
    <phoneticPr fontId="3" type="noConversion"/>
  </si>
  <si>
    <t>과세</t>
    <phoneticPr fontId="3" type="noConversion"/>
  </si>
  <si>
    <t>5 - 6</t>
    <phoneticPr fontId="3" type="noConversion"/>
  </si>
  <si>
    <t xml:space="preserve"> 9.  기 초 금 액</t>
    <phoneticPr fontId="3" type="noConversion"/>
  </si>
  <si>
    <t>사업승인(변경)신청일</t>
    <phoneticPr fontId="3" type="noConversion"/>
  </si>
  <si>
    <t>사업(변경)승인일</t>
    <phoneticPr fontId="3" type="noConversion"/>
  </si>
  <si>
    <t>부가가치세액</t>
    <phoneticPr fontId="3" type="noConversion"/>
  </si>
  <si>
    <t>특급</t>
    <phoneticPr fontId="3" type="noConversion"/>
  </si>
  <si>
    <t>800세대 이상(50%이상)</t>
    <phoneticPr fontId="3" type="noConversion"/>
  </si>
  <si>
    <t>보조</t>
    <phoneticPr fontId="3" type="noConversion"/>
  </si>
  <si>
    <t>비상주감리원</t>
    <phoneticPr fontId="3" type="noConversion"/>
  </si>
  <si>
    <t>29조</t>
    <phoneticPr fontId="3" type="noConversion"/>
  </si>
  <si>
    <t>27조</t>
    <phoneticPr fontId="3" type="noConversion"/>
  </si>
  <si>
    <t xml:space="preserve"> 6.  조         정</t>
    <phoneticPr fontId="3" type="noConversion"/>
  </si>
  <si>
    <t xml:space="preserve"> 7.  조 정 후 합 계</t>
    <phoneticPr fontId="3" type="noConversion"/>
  </si>
  <si>
    <t xml:space="preserve"> 8. 부가세</t>
    <phoneticPr fontId="3" type="noConversion"/>
  </si>
  <si>
    <t>공  사  예  정  공  정  표</t>
    <phoneticPr fontId="84" type="noConversion"/>
  </si>
  <si>
    <t>분 야</t>
    <phoneticPr fontId="84" type="noConversion"/>
  </si>
  <si>
    <t>2019년</t>
    <phoneticPr fontId="3" type="noConversion"/>
  </si>
  <si>
    <t>비 고</t>
    <phoneticPr fontId="84" type="noConversion"/>
  </si>
  <si>
    <t>1월</t>
    <phoneticPr fontId="3" type="noConversion"/>
  </si>
  <si>
    <t>도로 포장공사(교통시설물 포함)</t>
    <phoneticPr fontId="3" type="noConversion"/>
  </si>
  <si>
    <t>조경공사(시설 및 식재)</t>
    <phoneticPr fontId="3" type="noConversion"/>
  </si>
  <si>
    <t>건축공사</t>
    <phoneticPr fontId="84" type="noConversion"/>
  </si>
  <si>
    <t>공통가설 및 가시설물 공사</t>
    <phoneticPr fontId="3" type="noConversion"/>
  </si>
  <si>
    <t>습식공사(방수,조적,미장)</t>
    <phoneticPr fontId="3" type="noConversion"/>
  </si>
  <si>
    <t>마감공사(가구,타일,수장,가구,잡공사)돌공사</t>
    <phoneticPr fontId="3" type="noConversion"/>
  </si>
  <si>
    <t>설비공사(급수,급탕,오배수,통기,
난방,가스,자동제어,특수설비)</t>
    <phoneticPr fontId="3" type="noConversion"/>
  </si>
  <si>
    <t>승강기 공사</t>
  </si>
  <si>
    <t>공종</t>
    <phoneticPr fontId="3" type="noConversion"/>
  </si>
  <si>
    <t>토목공사</t>
    <phoneticPr fontId="84" type="noConversion"/>
  </si>
  <si>
    <t>우.오수 설비공사,부대시설공사</t>
    <phoneticPr fontId="3" type="noConversion"/>
  </si>
  <si>
    <t>내장공사(단열,방습,목공)</t>
    <phoneticPr fontId="3" type="noConversion"/>
  </si>
  <si>
    <t>금속공사(금속,지붕 및 홈통공사)</t>
    <phoneticPr fontId="3" type="noConversion"/>
  </si>
  <si>
    <t>창호공사(창호,유리,코킹 등)</t>
    <phoneticPr fontId="3" type="noConversion"/>
  </si>
  <si>
    <t>300~800세대 적용</t>
    <phoneticPr fontId="3" type="noConversion"/>
  </si>
  <si>
    <t>책임</t>
    <phoneticPr fontId="3" type="noConversion"/>
  </si>
  <si>
    <t>중급</t>
    <phoneticPr fontId="3" type="noConversion"/>
  </si>
  <si>
    <t>영 별표3</t>
    <phoneticPr fontId="3" type="noConversion"/>
  </si>
  <si>
    <r>
      <t>보조</t>
    </r>
    <r>
      <rPr>
        <b/>
        <sz val="9"/>
        <color indexed="12"/>
        <rFont val="굴림"/>
        <family val="3"/>
        <charset val="129"/>
      </rPr>
      <t>(초급)</t>
    </r>
    <phoneticPr fontId="3" type="noConversion"/>
  </si>
  <si>
    <t>초급</t>
    <phoneticPr fontId="3" type="noConversion"/>
  </si>
  <si>
    <t>25조3항</t>
    <phoneticPr fontId="3" type="noConversion"/>
  </si>
  <si>
    <t xml:space="preserve">     마) 현장운영경비</t>
    <phoneticPr fontId="3" type="noConversion"/>
  </si>
  <si>
    <t xml:space="preserve"> 제외</t>
    <phoneticPr fontId="3" type="noConversion"/>
  </si>
  <si>
    <t>보통</t>
    <phoneticPr fontId="3" type="noConversion"/>
  </si>
  <si>
    <t>22일(26조4항)</t>
    <phoneticPr fontId="3" type="noConversion"/>
  </si>
  <si>
    <t>해당없음</t>
    <phoneticPr fontId="3" type="noConversion"/>
  </si>
  <si>
    <t>제24조</t>
    <phoneticPr fontId="3" type="noConversion"/>
  </si>
  <si>
    <t>VAT 포함</t>
    <phoneticPr fontId="3" type="noConversion"/>
  </si>
  <si>
    <t>최초 계획</t>
    <phoneticPr fontId="3" type="noConversion"/>
  </si>
  <si>
    <t>건축 감리신청</t>
    <phoneticPr fontId="3" type="noConversion"/>
  </si>
  <si>
    <t>전기 감리신청</t>
    <phoneticPr fontId="3" type="noConversion"/>
  </si>
  <si>
    <t>발코니확장공사비 포함</t>
    <phoneticPr fontId="3" type="noConversion"/>
  </si>
  <si>
    <r>
      <rPr>
        <b/>
        <sz val="10"/>
        <color indexed="12"/>
        <rFont val="MS Gothic"/>
        <family val="3"/>
        <charset val="128"/>
      </rPr>
      <t>※</t>
    </r>
    <r>
      <rPr>
        <b/>
        <sz val="10"/>
        <color indexed="12"/>
        <rFont val="굴림"/>
        <family val="3"/>
        <charset val="129"/>
      </rPr>
      <t xml:space="preserve"> 상기 공사비는 발코니확장 공사비 포함 금액</t>
    </r>
    <phoneticPr fontId="3" type="noConversion"/>
  </si>
  <si>
    <t>2020년</t>
    <phoneticPr fontId="3" type="noConversion"/>
  </si>
  <si>
    <t>2021년</t>
    <phoneticPr fontId="3" type="noConversion"/>
  </si>
  <si>
    <t>2022년</t>
    <phoneticPr fontId="3" type="noConversion"/>
  </si>
  <si>
    <t>6월</t>
    <phoneticPr fontId="3" type="noConversion"/>
  </si>
  <si>
    <t>8월</t>
    <phoneticPr fontId="3" type="noConversion"/>
  </si>
  <si>
    <t>전 기 감 리 용 역 비  산 출 내 역 서</t>
    <phoneticPr fontId="3" type="noConversion"/>
  </si>
  <si>
    <t>운영요령</t>
    <phoneticPr fontId="3" type="noConversion"/>
  </si>
  <si>
    <t>용  역  명</t>
    <phoneticPr fontId="3" type="noConversion"/>
  </si>
  <si>
    <t>공 사 개 요</t>
    <phoneticPr fontId="3" type="noConversion"/>
  </si>
  <si>
    <t xml:space="preserve"> 아파트 지하1층~21층  499세대 / 근린생활시설 및 부대시설</t>
    <phoneticPr fontId="3" type="noConversion"/>
  </si>
  <si>
    <t xml:space="preserve"> 연면적 </t>
    <phoneticPr fontId="3" type="noConversion"/>
  </si>
  <si>
    <t>적         요</t>
    <phoneticPr fontId="3" type="noConversion"/>
  </si>
  <si>
    <t xml:space="preserve">전력기술관리법 운영요령 "산업통상자원부 고시 제 2017-21호"  시행 '17.02.09' </t>
    <phoneticPr fontId="3" type="noConversion"/>
  </si>
  <si>
    <t>터파기 4개월</t>
    <phoneticPr fontId="3" type="noConversion"/>
  </si>
  <si>
    <t>전기공사 23.5개월</t>
    <phoneticPr fontId="3" type="noConversion"/>
  </si>
  <si>
    <t>복잡공종(별표3)</t>
    <phoneticPr fontId="3" type="noConversion"/>
  </si>
  <si>
    <t xml:space="preserve">  "실비정액가산방식"  </t>
    <phoneticPr fontId="3" type="noConversion"/>
  </si>
  <si>
    <t>구         분</t>
    <phoneticPr fontId="3" type="noConversion"/>
  </si>
  <si>
    <t>산    출    내    역</t>
    <phoneticPr fontId="3" type="noConversion"/>
  </si>
  <si>
    <t>금     액</t>
    <phoneticPr fontId="3" type="noConversion"/>
  </si>
  <si>
    <t>비  고</t>
    <phoneticPr fontId="3" type="noConversion"/>
  </si>
  <si>
    <t xml:space="preserve"> 1.  직접인건비</t>
    <phoneticPr fontId="3" type="noConversion"/>
  </si>
  <si>
    <t xml:space="preserve"> 배치되는 감리원수(인*월) * 등급별 감리원 월임금 </t>
    <phoneticPr fontId="3" type="noConversion"/>
  </si>
  <si>
    <t>제26조</t>
    <phoneticPr fontId="3" type="noConversion"/>
  </si>
  <si>
    <t>20억이상</t>
    <phoneticPr fontId="3" type="noConversion"/>
  </si>
  <si>
    <t>10억이상</t>
    <phoneticPr fontId="3" type="noConversion"/>
  </si>
  <si>
    <t>10억미만</t>
    <phoneticPr fontId="3" type="noConversion"/>
  </si>
  <si>
    <t>상주감리원</t>
    <phoneticPr fontId="3" type="noConversion"/>
  </si>
  <si>
    <r>
      <t>책임</t>
    </r>
    <r>
      <rPr>
        <b/>
        <sz val="9"/>
        <color indexed="12"/>
        <rFont val="굴림"/>
        <family val="3"/>
        <charset val="129"/>
      </rPr>
      <t>(특급)</t>
    </r>
    <phoneticPr fontId="3" type="noConversion"/>
  </si>
  <si>
    <t>한국전력기술인협회 공표</t>
  </si>
  <si>
    <t>300세대 이상 400세대 미만: 15퍼센트 범위</t>
    <phoneticPr fontId="3" type="noConversion"/>
  </si>
  <si>
    <t>400세대 이상 500세대 미만: 10퍼센트 범위</t>
    <phoneticPr fontId="3" type="noConversion"/>
  </si>
  <si>
    <r>
      <t xml:space="preserve">□ </t>
    </r>
    <r>
      <rPr>
        <b/>
        <u/>
        <sz val="10"/>
        <rFont val="굴림체"/>
        <family val="3"/>
        <charset val="129"/>
      </rPr>
      <t>감리원 등급별 임금</t>
    </r>
    <r>
      <rPr>
        <sz val="10"/>
        <rFont val="굴림체"/>
        <family val="3"/>
        <charset val="129"/>
      </rPr>
      <t>은 한국엔지니어링협회가 통계법에 의하여 공표한 임금임.</t>
    </r>
    <phoneticPr fontId="3" type="noConversion"/>
  </si>
  <si>
    <t>2020.03.25 ~ 2022.07.24 (28개월)</t>
    <phoneticPr fontId="3" type="noConversion"/>
  </si>
  <si>
    <t>2020.07.25 ~ 2022.06.24 (23개월)</t>
    <phoneticPr fontId="3" type="noConversion"/>
  </si>
  <si>
    <t>[별지 제1호 서식]</t>
    <phoneticPr fontId="3" type="noConversion"/>
  </si>
  <si>
    <t>총 사업비 산출 총괄표</t>
    <phoneticPr fontId="3" type="noConversion"/>
  </si>
  <si>
    <t>단위 : 천원</t>
    <phoneticPr fontId="3" type="noConversion"/>
  </si>
  <si>
    <t>구    분</t>
    <phoneticPr fontId="3" type="noConversion"/>
  </si>
  <si>
    <t>전  체</t>
    <phoneticPr fontId="3" type="noConversion"/>
  </si>
  <si>
    <t>구성비</t>
    <phoneticPr fontId="3" type="noConversion"/>
  </si>
  <si>
    <t>감리대상</t>
    <phoneticPr fontId="3" type="noConversion"/>
  </si>
  <si>
    <t>감리제외</t>
    <phoneticPr fontId="3" type="noConversion"/>
  </si>
  <si>
    <t>타법감리</t>
    <phoneticPr fontId="3" type="noConversion"/>
  </si>
  <si>
    <t>총공사비</t>
    <phoneticPr fontId="3" type="noConversion"/>
  </si>
  <si>
    <t>순공사비</t>
    <phoneticPr fontId="3" type="noConversion"/>
  </si>
  <si>
    <t>전기공사</t>
    <phoneticPr fontId="3" type="noConversion"/>
  </si>
  <si>
    <t>토목공사</t>
    <phoneticPr fontId="3" type="noConversion"/>
  </si>
  <si>
    <t>건축공사</t>
    <phoneticPr fontId="3" type="noConversion"/>
  </si>
  <si>
    <t>기계설비공사</t>
    <phoneticPr fontId="3" type="noConversion"/>
  </si>
  <si>
    <t>정보통신공사</t>
    <phoneticPr fontId="3" type="noConversion"/>
  </si>
  <si>
    <t>소방설비공사</t>
    <phoneticPr fontId="3" type="noConversion"/>
  </si>
  <si>
    <t>소  계</t>
    <phoneticPr fontId="3" type="noConversion"/>
  </si>
  <si>
    <t>일반관리비</t>
    <phoneticPr fontId="3" type="noConversion"/>
  </si>
  <si>
    <t>이      윤</t>
    <phoneticPr fontId="3" type="noConversion"/>
  </si>
  <si>
    <t>소      계</t>
    <phoneticPr fontId="3" type="noConversion"/>
  </si>
  <si>
    <t>간 접 비</t>
    <phoneticPr fontId="3" type="noConversion"/>
  </si>
  <si>
    <t>설  계  비</t>
    <phoneticPr fontId="3" type="noConversion"/>
  </si>
  <si>
    <t>감  리  비</t>
    <phoneticPr fontId="3" type="noConversion"/>
  </si>
  <si>
    <t>일반분양시설경비</t>
    <phoneticPr fontId="3" type="noConversion"/>
  </si>
  <si>
    <t>분담금 및 부담금</t>
    <phoneticPr fontId="3" type="noConversion"/>
  </si>
  <si>
    <t>보  상  비</t>
    <phoneticPr fontId="3" type="noConversion"/>
  </si>
  <si>
    <t>기타 사업비성 경비</t>
    <phoneticPr fontId="3" type="noConversion"/>
  </si>
  <si>
    <t>소    계</t>
    <phoneticPr fontId="3" type="noConversion"/>
  </si>
  <si>
    <t>대  지  비</t>
    <phoneticPr fontId="3" type="noConversion"/>
  </si>
  <si>
    <t>부가가치세액</t>
    <phoneticPr fontId="3" type="noConversion"/>
  </si>
  <si>
    <t>총사업비 계</t>
    <phoneticPr fontId="3" type="noConversion"/>
  </si>
  <si>
    <t>주 1. 순공사비란 : 재료비,노무비,경비를 합한 금액임</t>
    <phoneticPr fontId="3" type="noConversion"/>
  </si>
  <si>
    <t xml:space="preserve">   2. 일반관리비와 이윤에 대한 정의 및 산정방법은 "원가계산에 의한 예정가격 작성준칙(예산회계)"에 따름</t>
    <phoneticPr fontId="3" type="noConversion"/>
  </si>
  <si>
    <t xml:space="preserve">   3. 부가가치 세액의 정의와 산정방법은 "부가가치세법"에 따름 </t>
    <phoneticPr fontId="3" type="noConversion"/>
  </si>
  <si>
    <t xml:space="preserve">   4. 간접비란 사업비 중 총 공사비를 제외한 설계비,감리비, 일반분양시설 경비등 사업비성 경비를 말하며, 세부</t>
    <phoneticPr fontId="3" type="noConversion"/>
  </si>
  <si>
    <t xml:space="preserve">      비목은 다음과 같음</t>
    <phoneticPr fontId="3" type="noConversion"/>
  </si>
  <si>
    <t xml:space="preserve">     - 일반 분양시설 경비 : 시공비,운영비,광고홍보비</t>
    <phoneticPr fontId="3" type="noConversion"/>
  </si>
  <si>
    <t xml:space="preserve">     - 분담금 및 부담금 : 인입분담금(가스,전기,수도,지역난방),진입도로,학교용지확보 부담금</t>
    <phoneticPr fontId="3" type="noConversion"/>
  </si>
  <si>
    <t xml:space="preserve">     - 보상비 : 이주대책비,이주보상비</t>
    <phoneticPr fontId="3" type="noConversion"/>
  </si>
  <si>
    <t xml:space="preserve">     - 기타 사업비성 경비 : 제세공과금,측량.교통.환경영향평가 수수료,취득세,등록세,건물 보존등기비 및 입주관</t>
    <phoneticPr fontId="3" type="noConversion"/>
  </si>
  <si>
    <t xml:space="preserve">       리비,분양.임대보증 및 하자 보증수수료등 기타 사업성 경비</t>
    <phoneticPr fontId="3" type="noConversion"/>
  </si>
  <si>
    <t xml:space="preserve">     - 대지비 : 대지구입비,대지구입관련 금융비용 및 제세공과금</t>
    <phoneticPr fontId="3" type="noConversion"/>
  </si>
  <si>
    <t>[별지 제2호 서식]</t>
    <phoneticPr fontId="3" type="noConversion"/>
  </si>
  <si>
    <t>공종별 총공사비 구성 현황표</t>
    <phoneticPr fontId="3" type="noConversion"/>
  </si>
  <si>
    <t>단위 : 천원</t>
    <phoneticPr fontId="3" type="noConversion"/>
  </si>
  <si>
    <t>구  분</t>
    <phoneticPr fontId="3" type="noConversion"/>
  </si>
  <si>
    <t>분 야</t>
    <phoneticPr fontId="3" type="noConversion"/>
  </si>
  <si>
    <t>공  종</t>
    <phoneticPr fontId="3" type="noConversion"/>
  </si>
  <si>
    <t>전  체</t>
    <phoneticPr fontId="3" type="noConversion"/>
  </si>
  <si>
    <t>감리대상</t>
    <phoneticPr fontId="3" type="noConversion"/>
  </si>
  <si>
    <t>감리제외</t>
    <phoneticPr fontId="3" type="noConversion"/>
  </si>
  <si>
    <t>타법감리</t>
    <phoneticPr fontId="3" type="noConversion"/>
  </si>
  <si>
    <t>순공사비</t>
    <phoneticPr fontId="3" type="noConversion"/>
  </si>
  <si>
    <t>전  기</t>
    <phoneticPr fontId="3" type="noConversion"/>
  </si>
  <si>
    <t>인입공사</t>
  </si>
  <si>
    <t>수변전공사</t>
  </si>
  <si>
    <t>전력간선공사</t>
  </si>
  <si>
    <t>동력공사</t>
  </si>
  <si>
    <t>전열공사</t>
  </si>
  <si>
    <t>전등공사</t>
  </si>
  <si>
    <t>접지 및 피뢰공사</t>
  </si>
  <si>
    <t>옥외보안등공사</t>
  </si>
  <si>
    <t>Cable Tray공사</t>
  </si>
  <si>
    <t>주차장공사</t>
  </si>
  <si>
    <t>부속동공사</t>
  </si>
  <si>
    <t>소계</t>
    <phoneticPr fontId="3" type="noConversion"/>
  </si>
  <si>
    <t>토  목</t>
    <phoneticPr fontId="3" type="noConversion"/>
  </si>
  <si>
    <t>토공사</t>
    <phoneticPr fontId="3" type="noConversion"/>
  </si>
  <si>
    <t>흙막이공사</t>
    <phoneticPr fontId="3" type="noConversion"/>
  </si>
  <si>
    <t>비탈면 보호공사</t>
    <phoneticPr fontId="3" type="noConversion"/>
  </si>
  <si>
    <t>옹벽공사</t>
    <phoneticPr fontId="3" type="noConversion"/>
  </si>
  <si>
    <t>석축공사</t>
    <phoneticPr fontId="3" type="noConversion"/>
  </si>
  <si>
    <t>우.오수공사</t>
    <phoneticPr fontId="3" type="noConversion"/>
  </si>
  <si>
    <t>공동구공사</t>
    <phoneticPr fontId="3" type="noConversion"/>
  </si>
  <si>
    <t>지하저수조 및 급수공사</t>
    <phoneticPr fontId="3" type="noConversion"/>
  </si>
  <si>
    <t>도로 포장공사</t>
    <phoneticPr fontId="3" type="noConversion"/>
  </si>
  <si>
    <t>교통안전시설물공사</t>
    <phoneticPr fontId="3" type="noConversion"/>
  </si>
  <si>
    <t>정화조시설공사</t>
    <phoneticPr fontId="3" type="noConversion"/>
  </si>
  <si>
    <t>조경공사</t>
    <phoneticPr fontId="3" type="noConversion"/>
  </si>
  <si>
    <t>부대시설공사</t>
    <phoneticPr fontId="3" type="noConversion"/>
  </si>
  <si>
    <t>소  계</t>
    <phoneticPr fontId="3" type="noConversion"/>
  </si>
  <si>
    <t>건  축</t>
    <phoneticPr fontId="3" type="noConversion"/>
  </si>
  <si>
    <t>공통가설공사</t>
    <phoneticPr fontId="3" type="noConversion"/>
  </si>
  <si>
    <t>가시설물 공사</t>
    <phoneticPr fontId="3" type="noConversion"/>
  </si>
  <si>
    <t>지정 및 기초공사</t>
    <phoneticPr fontId="3" type="noConversion"/>
  </si>
  <si>
    <t>철골공사</t>
    <phoneticPr fontId="3" type="noConversion"/>
  </si>
  <si>
    <t>철근콘크리트공사</t>
    <phoneticPr fontId="3" type="noConversion"/>
  </si>
  <si>
    <t>용접공사</t>
    <phoneticPr fontId="3" type="noConversion"/>
  </si>
  <si>
    <t>조적공사</t>
    <phoneticPr fontId="3" type="noConversion"/>
  </si>
  <si>
    <t>미장공사</t>
    <phoneticPr fontId="3" type="noConversion"/>
  </si>
  <si>
    <t>단열공사</t>
    <phoneticPr fontId="3" type="noConversion"/>
  </si>
  <si>
    <t>방수/방습공사</t>
    <phoneticPr fontId="3" type="noConversion"/>
  </si>
  <si>
    <t>목공사</t>
    <phoneticPr fontId="3" type="noConversion"/>
  </si>
  <si>
    <t>가구공사</t>
    <phoneticPr fontId="3" type="noConversion"/>
  </si>
  <si>
    <t>금속공사</t>
    <phoneticPr fontId="3" type="noConversion"/>
  </si>
  <si>
    <t>지붕 및 홈통공사</t>
    <phoneticPr fontId="3" type="noConversion"/>
  </si>
  <si>
    <t>창호공사</t>
    <phoneticPr fontId="3" type="noConversion"/>
  </si>
  <si>
    <t>유리공사</t>
    <phoneticPr fontId="3" type="noConversion"/>
  </si>
  <si>
    <t>타일공사</t>
    <phoneticPr fontId="3" type="noConversion"/>
  </si>
  <si>
    <t>돌공사</t>
    <phoneticPr fontId="3" type="noConversion"/>
  </si>
  <si>
    <t>도장공사</t>
    <phoneticPr fontId="3" type="noConversion"/>
  </si>
  <si>
    <t>도배공사</t>
    <phoneticPr fontId="3" type="noConversion"/>
  </si>
  <si>
    <t>수장공사</t>
    <phoneticPr fontId="3" type="noConversion"/>
  </si>
  <si>
    <t>주방용구공사</t>
    <phoneticPr fontId="3" type="noConversion"/>
  </si>
  <si>
    <t>잡공사</t>
    <phoneticPr fontId="3" type="noConversion"/>
  </si>
  <si>
    <t>기계설비</t>
    <phoneticPr fontId="3" type="noConversion"/>
  </si>
  <si>
    <t>급수설비공사</t>
    <phoneticPr fontId="3" type="noConversion"/>
  </si>
  <si>
    <t>급탕설비공사</t>
    <phoneticPr fontId="3" type="noConversion"/>
  </si>
  <si>
    <t>오배수 및 통기설비공사</t>
    <phoneticPr fontId="3" type="noConversion"/>
  </si>
  <si>
    <t>위생기구 공사</t>
    <phoneticPr fontId="3" type="noConversion"/>
  </si>
  <si>
    <t>승강기 공사</t>
    <phoneticPr fontId="3" type="noConversion"/>
  </si>
  <si>
    <t>난방 설비공사</t>
    <phoneticPr fontId="3" type="noConversion"/>
  </si>
  <si>
    <t>가스 설비공사</t>
    <phoneticPr fontId="3" type="noConversion"/>
  </si>
  <si>
    <t>자동제어 설비공사</t>
    <phoneticPr fontId="3" type="noConversion"/>
  </si>
  <si>
    <t>특수설비공사</t>
    <phoneticPr fontId="3" type="noConversion"/>
  </si>
  <si>
    <t>소   계</t>
    <phoneticPr fontId="3" type="noConversion"/>
  </si>
  <si>
    <t>정보통신(11개공사)</t>
    <phoneticPr fontId="3" type="noConversion"/>
  </si>
  <si>
    <t>정보통신(11개공사)</t>
    <phoneticPr fontId="3" type="noConversion"/>
  </si>
  <si>
    <t>소방설비(2개공사)</t>
    <phoneticPr fontId="3" type="noConversion"/>
  </si>
  <si>
    <t>일 반 관 리 비</t>
    <phoneticPr fontId="3" type="noConversion"/>
  </si>
  <si>
    <t>이          윤</t>
    <phoneticPr fontId="3" type="noConversion"/>
  </si>
  <si>
    <t>총 공 사 비 계</t>
    <phoneticPr fontId="3" type="noConversion"/>
  </si>
  <si>
    <t>공  사  예  정  공  정  표 ( 전 기 )</t>
    <phoneticPr fontId="84" type="noConversion"/>
  </si>
  <si>
    <t>분 야</t>
    <phoneticPr fontId="84" type="noConversion"/>
  </si>
  <si>
    <t>공종</t>
    <phoneticPr fontId="3" type="noConversion"/>
  </si>
  <si>
    <t>비 고</t>
    <phoneticPr fontId="84" type="noConversion"/>
  </si>
  <si>
    <t>5월</t>
    <phoneticPr fontId="3" type="noConversion"/>
  </si>
  <si>
    <t>전기공사</t>
    <phoneticPr fontId="84" type="noConversion"/>
  </si>
  <si>
    <t>인입공사</t>
    <phoneticPr fontId="3" type="noConversion"/>
  </si>
  <si>
    <t>수변전설비공사</t>
    <phoneticPr fontId="3" type="noConversion"/>
  </si>
  <si>
    <t>전력간선공사</t>
    <phoneticPr fontId="3" type="noConversion"/>
  </si>
  <si>
    <t>동력공사</t>
    <phoneticPr fontId="3" type="noConversion"/>
  </si>
  <si>
    <t>전열공사</t>
    <phoneticPr fontId="3" type="noConversion"/>
  </si>
  <si>
    <t>전등공사</t>
    <phoneticPr fontId="3" type="noConversion"/>
  </si>
  <si>
    <t>접지 및 피뢰공사</t>
    <phoneticPr fontId="3" type="noConversion"/>
  </si>
  <si>
    <t>옥외보안등공사</t>
    <phoneticPr fontId="3" type="noConversion"/>
  </si>
  <si>
    <t>Cable Tray 공사</t>
    <phoneticPr fontId="3" type="noConversion"/>
  </si>
  <si>
    <t>주차장공사</t>
    <phoneticPr fontId="3" type="noConversion"/>
  </si>
  <si>
    <t>부속동공사</t>
    <phoneticPr fontId="3" type="noConversion"/>
  </si>
  <si>
    <t>타법</t>
    <phoneticPr fontId="3" type="noConversion"/>
  </si>
  <si>
    <t>건축공사</t>
    <phoneticPr fontId="3" type="noConversion"/>
  </si>
  <si>
    <t>토목공사</t>
    <phoneticPr fontId="3" type="noConversion"/>
  </si>
  <si>
    <t>기계/설비공사</t>
    <phoneticPr fontId="3" type="noConversion"/>
  </si>
  <si>
    <t>정보통신공사</t>
    <phoneticPr fontId="3" type="noConversion"/>
  </si>
  <si>
    <t>소방설비공사</t>
    <phoneticPr fontId="3" type="noConversion"/>
  </si>
  <si>
    <t>전기(11개공사)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</si>
  <si>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</si>
  <si>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</si>
  <si>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</si>
  <si>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</si>
  <si>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</si>
  <si>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</si>
  <si>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</si>
  <si>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7월</t>
    <phoneticPr fontId="3" type="noConversion"/>
  </si>
  <si>
    <t>9월</t>
    <phoneticPr fontId="3" type="noConversion"/>
  </si>
  <si>
    <t>전체 29개월</t>
    <phoneticPr fontId="3" type="noConversion"/>
  </si>
  <si>
    <t>터파기 및 파일 4개월 감안, 건축 착공 2개월 여유</t>
    <phoneticPr fontId="3" type="noConversion"/>
  </si>
  <si>
    <t>20.05.01~20.12.15
(7.5개월)</t>
    <phoneticPr fontId="3" type="noConversion"/>
  </si>
  <si>
    <t>20.07.01~20.12.15
(5.5개월)</t>
    <phoneticPr fontId="3" type="noConversion"/>
  </si>
  <si>
    <t>22.03.01~22.07.31)
(5.0개월)</t>
    <phoneticPr fontId="3" type="noConversion"/>
  </si>
  <si>
    <t>22.04.16~22.07.31)
(3.5개월)</t>
    <phoneticPr fontId="3" type="noConversion"/>
  </si>
  <si>
    <t>구조체공사</t>
    <phoneticPr fontId="3" type="noConversion"/>
  </si>
  <si>
    <t>20.05.01~20.10.31)
(6.0개월)</t>
    <phoneticPr fontId="3" type="noConversion"/>
  </si>
  <si>
    <t>20.09.01~20.12.15
(3.5개월)</t>
    <phoneticPr fontId="3" type="noConversion"/>
  </si>
  <si>
    <t>21.02.01~22.01.31
(12개월)</t>
    <phoneticPr fontId="3" type="noConversion"/>
  </si>
  <si>
    <t>21.08.01~22.05.31
(10개월)</t>
    <phoneticPr fontId="3" type="noConversion"/>
  </si>
  <si>
    <t>21.12.01~22.09.15
(9.5개월)</t>
    <phoneticPr fontId="3" type="noConversion"/>
  </si>
  <si>
    <t>21.09.01~22.09.15
(12.5개월)</t>
    <phoneticPr fontId="3" type="noConversion"/>
  </si>
  <si>
    <t>22.11.01~22.09.30
(11개월)</t>
    <phoneticPr fontId="3" type="noConversion"/>
  </si>
  <si>
    <t>20.12.01~22.09.30
(22개월)</t>
    <phoneticPr fontId="3" type="noConversion"/>
  </si>
  <si>
    <t>21.10.01~22.02.28
(5개월)</t>
    <phoneticPr fontId="3" type="noConversion"/>
  </si>
  <si>
    <t>20.10.16~22.09.30
(23.5개월)</t>
    <phoneticPr fontId="3" type="noConversion"/>
  </si>
  <si>
    <t>20.11.16~22.09.30
(22.5개월)</t>
    <phoneticPr fontId="3" type="noConversion"/>
  </si>
  <si>
    <t>22.05.01~22.09.15)
(4.5개월)</t>
    <phoneticPr fontId="3" type="noConversion"/>
  </si>
  <si>
    <t>20.10.16~21.10.15
(12개월)</t>
    <phoneticPr fontId="3" type="noConversion"/>
  </si>
  <si>
    <t>2. 공사 기간 : 2020.05.01. ~ 2022.09.30.(29개월)</t>
    <phoneticPr fontId="3" type="noConversion"/>
  </si>
  <si>
    <t>1. 공 사 명  : 영종국제도시 화성파크드림 2차 신축공사</t>
    <phoneticPr fontId="3" type="noConversion"/>
  </si>
  <si>
    <t>20.05.01~22.09.30
(29개월)</t>
    <phoneticPr fontId="3" type="noConversion"/>
  </si>
  <si>
    <t>20.12.01~22.09.30
(22개월)</t>
    <phoneticPr fontId="3" type="noConversion"/>
  </si>
  <si>
    <t>1. 공 사 명   : 영종국제도시 화성파크드림 2차 신축공사</t>
    <phoneticPr fontId="3" type="noConversion"/>
  </si>
  <si>
    <t>201.09.01~22.03.31
(6.5개월)</t>
    <phoneticPr fontId="3" type="noConversion"/>
  </si>
  <si>
    <t>21.11.01~22.04.30
(6개월)</t>
    <phoneticPr fontId="3" type="noConversion"/>
  </si>
  <si>
    <t>20.12.01~22.08.31
(21개월)</t>
    <phoneticPr fontId="3" type="noConversion"/>
  </si>
  <si>
    <t>21.01.01~22.09.30
(21개월)</t>
    <phoneticPr fontId="3" type="noConversion"/>
  </si>
  <si>
    <t>22.02.16~22.06.30
(4.5개월)</t>
    <phoneticPr fontId="3" type="noConversion"/>
  </si>
  <si>
    <t>21.09.16~22.05.31
(8.5개월)</t>
    <phoneticPr fontId="3" type="noConversion"/>
  </si>
  <si>
    <t>21.10.16~22.06.15
(8개월)</t>
    <phoneticPr fontId="3" type="noConversion"/>
  </si>
  <si>
    <t>22.02.01~22.08.31
(7개월)</t>
    <phoneticPr fontId="3" type="noConversion"/>
  </si>
  <si>
    <t>21.08.16~22.06.15
(10개월)</t>
    <phoneticPr fontId="3" type="noConversion"/>
  </si>
  <si>
    <t>2. 공사 기간 : 2020. 10.16 ~ 2022.09.30.(23.5개월)</t>
    <phoneticPr fontId="3" type="noConversion"/>
  </si>
  <si>
    <t>(단위 : 천원)</t>
    <phoneticPr fontId="3" type="noConversion"/>
  </si>
  <si>
    <t>21.06.01~22.09.30
(16개월)</t>
    <phoneticPr fontId="3" type="noConversion"/>
  </si>
  <si>
    <t>21.05.16~22.06.15
(13개월)</t>
    <phoneticPr fontId="3" type="noConversion"/>
  </si>
  <si>
    <t>20.10.16~20.12.31(2.5개월)
21.11.16~22.05.15 (6개월)</t>
    <phoneticPr fontId="3" type="noConversion"/>
  </si>
  <si>
    <t>20.05.01~20.12.15(7.5개월)
22.03.01~22.09.15(6.5개월)</t>
    <phoneticPr fontId="3" type="noConversion"/>
  </si>
  <si>
    <t>영종국제도시 화성파크드림 2차</t>
  </si>
  <si>
    <t>인천광역시 중구 운남동 1766-2</t>
  </si>
  <si>
    <t>㈜화성개발</t>
  </si>
  <si>
    <t>대표이사:도훈찬</t>
  </si>
  <si>
    <t>☎053-715-3061</t>
  </si>
  <si>
    <t>대구광역시 북구 원대로 130, 파크드림갤러리</t>
  </si>
  <si>
    <t>㈜종합건축사무소 남양</t>
  </si>
  <si>
    <t>대표이사:임봉수</t>
  </si>
  <si>
    <t>☎053-741-1544</t>
  </si>
  <si>
    <t xml:space="preserve">대구광역시 수성구 국채보상로 870 </t>
  </si>
  <si>
    <t>지하1층~지상21층  499세대, 근린생활시설 및 부대시설</t>
  </si>
  <si>
    <t>2020.5. ~ 2022.9. (29개월)</t>
  </si>
  <si>
    <t>영종국제도시 화성프크드림 2차 신축공사 감리비 산출서</t>
    <phoneticPr fontId="3" type="noConversion"/>
  </si>
  <si>
    <t>영종국제도시 화성파크드림 2차 신축공사 전력시설물공사 감리용역</t>
    <phoneticPr fontId="3" type="noConversion"/>
  </si>
  <si>
    <t>(단위 : 천원)</t>
    <phoneticPr fontId="3" type="noConversion"/>
  </si>
</sst>
</file>

<file path=xl/styles.xml><?xml version="1.0" encoding="utf-8"?>
<styleSheet xmlns="http://schemas.openxmlformats.org/spreadsheetml/2006/main">
  <numFmts count="4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0.0000%"/>
    <numFmt numFmtId="178" formatCode="_-* #,##0.0000_-;\-* #,##0.0000_-;_-* &quot;-&quot;_-;_-@_-"/>
    <numFmt numFmtId="179" formatCode="0.0"/>
    <numFmt numFmtId="180" formatCode="0.00000000000000%"/>
    <numFmt numFmtId="181" formatCode="#,##0.00&quot;㎡&quot;"/>
    <numFmt numFmtId="182" formatCode="0.000"/>
    <numFmt numFmtId="183" formatCode="#,##0.0000&quot;㎡&quot;"/>
    <numFmt numFmtId="184" formatCode="#,##0&quot;억원&quot;"/>
    <numFmt numFmtId="185" formatCode="#,##0&quot;개월&quot;"/>
    <numFmt numFmtId="186" formatCode="_-* #,##0.0_-;\-* #,##0.0_-;_-* &quot;-&quot;??_-;_-@_-"/>
    <numFmt numFmtId="187" formatCode="_-* #,##0_-;\-* #,##0_-;_-* &quot;-&quot;??_-;_-@_-"/>
    <numFmt numFmtId="188" formatCode="0.000%"/>
    <numFmt numFmtId="189" formatCode="_-* #,##0.0_-;\-* #,##0.0_-;_-* &quot;-&quot;_-;_-@_-"/>
    <numFmt numFmtId="190" formatCode="0.00000%"/>
    <numFmt numFmtId="191" formatCode="0.0000"/>
    <numFmt numFmtId="192" formatCode="_-* #,##0.000_-;\-* #,##0.000_-;_-* &quot;-&quot;??_-;_-@_-"/>
    <numFmt numFmtId="193" formatCode="#,##0_ "/>
    <numFmt numFmtId="194" formatCode="#,##0_ &quot;천원&quot;"/>
    <numFmt numFmtId="195" formatCode="0.0_ "/>
    <numFmt numFmtId="196" formatCode="0_ "/>
    <numFmt numFmtId="197" formatCode="#,##0_);[Red]\(#,##0\)"/>
    <numFmt numFmtId="198" formatCode="#,##0;[Red]#,##0"/>
    <numFmt numFmtId="199" formatCode="&quot;₩&quot;#,##0_);\(&quot;₩&quot;#,##0\)"/>
    <numFmt numFmtId="200" formatCode="0.0_);\(0.0\)"/>
    <numFmt numFmtId="201" formatCode="0.00000000"/>
    <numFmt numFmtId="202" formatCode="0.0000000_ ;[Red]\-0.0000000\ "/>
    <numFmt numFmtId="203" formatCode="&quot;₩&quot;#,##0;[Red]&quot;₩&quot;#,##0"/>
    <numFmt numFmtId="204" formatCode="&quot;(&quot;#,##0.00&quot;평)&quot;"/>
    <numFmt numFmtId="205" formatCode="#,##0.00&quot;인월&quot;"/>
    <numFmt numFmtId="206" formatCode="0&quot;  &quot;"/>
    <numFmt numFmtId="207" formatCode="_-* #,##0.00;\-* #,##0.00;_-* &quot;-&quot;;_-@"/>
    <numFmt numFmtId="208" formatCode="#,##0.00_ ;[Red]\-#,##0.00\ "/>
    <numFmt numFmtId="209" formatCode="_ * #,##0.0000000_ ;_ * \-#,##0.0000000_ ;_ * &quot;-&quot;_ ;_ @_ "/>
    <numFmt numFmtId="210" formatCode="#,##0;[Red]&quot;△&quot;#,##0"/>
    <numFmt numFmtId="211" formatCode="&quot;·&quot;General"/>
    <numFmt numFmtId="212" formatCode="0.0%"/>
    <numFmt numFmtId="213" formatCode="0.0000000%"/>
  </numFmts>
  <fonts count="90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b/>
      <sz val="16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0"/>
      <color indexed="12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  <font>
      <sz val="10"/>
      <name val="굴림"/>
      <family val="3"/>
      <charset val="129"/>
    </font>
    <font>
      <sz val="10"/>
      <color indexed="12"/>
      <name val="굴림"/>
      <family val="3"/>
      <charset val="129"/>
    </font>
    <font>
      <sz val="10"/>
      <color indexed="10"/>
      <name val="굴림"/>
      <family val="3"/>
      <charset val="129"/>
    </font>
    <font>
      <sz val="9"/>
      <color indexed="10"/>
      <name val="굴림"/>
      <family val="3"/>
      <charset val="129"/>
    </font>
    <font>
      <sz val="8"/>
      <name val="굴림"/>
      <family val="3"/>
      <charset val="129"/>
    </font>
    <font>
      <sz val="10"/>
      <color indexed="55"/>
      <name val="굴림"/>
      <family val="3"/>
      <charset val="129"/>
    </font>
    <font>
      <sz val="9"/>
      <name val="굴림"/>
      <family val="3"/>
      <charset val="129"/>
    </font>
    <font>
      <sz val="8"/>
      <color indexed="55"/>
      <name val="굴림"/>
      <family val="3"/>
      <charset val="129"/>
    </font>
    <font>
      <b/>
      <sz val="10"/>
      <color indexed="12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color indexed="12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indexed="12"/>
      <name val="굴림체"/>
      <family val="3"/>
      <charset val="129"/>
    </font>
    <font>
      <b/>
      <sz val="12"/>
      <name val="굴림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10"/>
      <color indexed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u/>
      <sz val="20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6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3"/>
      <name val="굴림체"/>
      <family val="3"/>
      <charset val="129"/>
    </font>
    <font>
      <b/>
      <sz val="20"/>
      <name val="굴림"/>
      <family val="3"/>
      <charset val="129"/>
    </font>
    <font>
      <sz val="13"/>
      <color indexed="8"/>
      <name val="굴림체"/>
      <family val="3"/>
      <charset val="129"/>
    </font>
    <font>
      <sz val="13"/>
      <color indexed="10"/>
      <name val="굴림체"/>
      <family val="3"/>
      <charset val="129"/>
    </font>
    <font>
      <sz val="13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indexed="11"/>
      <name val="굴림체"/>
      <family val="3"/>
      <charset val="129"/>
    </font>
    <font>
      <b/>
      <sz val="13"/>
      <color indexed="8"/>
      <name val="굴림체"/>
      <family val="3"/>
      <charset val="129"/>
    </font>
    <font>
      <b/>
      <sz val="11"/>
      <name val="굴림"/>
      <family val="3"/>
      <charset val="129"/>
    </font>
    <font>
      <b/>
      <sz val="19"/>
      <name val="굴림체"/>
      <family val="3"/>
      <charset val="129"/>
    </font>
    <font>
      <u/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9"/>
      <color indexed="12"/>
      <name val="굴림"/>
      <family val="3"/>
      <charset val="129"/>
    </font>
    <font>
      <sz val="11"/>
      <color indexed="10"/>
      <name val="돋움"/>
      <family val="3"/>
      <charset val="129"/>
    </font>
    <font>
      <sz val="12"/>
      <color indexed="10"/>
      <name val="돋움"/>
      <family val="3"/>
      <charset val="129"/>
    </font>
    <font>
      <sz val="14"/>
      <color indexed="8"/>
      <name val="한양신명조"/>
      <family val="3"/>
      <charset val="129"/>
    </font>
    <font>
      <sz val="11"/>
      <color indexed="10"/>
      <name val="굴림체"/>
      <family val="3"/>
      <charset val="129"/>
    </font>
    <font>
      <u/>
      <sz val="11"/>
      <name val="굴림"/>
      <family val="3"/>
      <charset val="129"/>
    </font>
    <font>
      <u/>
      <sz val="10"/>
      <color indexed="10"/>
      <name val="굴림"/>
      <family val="3"/>
      <charset val="129"/>
    </font>
    <font>
      <u/>
      <sz val="10"/>
      <name val="굴림체"/>
      <family val="3"/>
      <charset val="129"/>
    </font>
    <font>
      <sz val="10"/>
      <color indexed="8"/>
      <name val="Arial Unicode MS"/>
      <family val="3"/>
    </font>
    <font>
      <sz val="10"/>
      <color indexed="8"/>
      <name val="돋움"/>
      <family val="3"/>
      <charset val="129"/>
    </font>
    <font>
      <b/>
      <sz val="9"/>
      <color indexed="21"/>
      <name val="굴림"/>
      <family val="3"/>
      <charset val="129"/>
    </font>
    <font>
      <sz val="10"/>
      <color indexed="8"/>
      <name val="굴림체"/>
      <family val="3"/>
      <charset val="129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u/>
      <sz val="10"/>
      <name val="굴림체"/>
      <family val="3"/>
      <charset val="129"/>
    </font>
    <font>
      <b/>
      <sz val="9"/>
      <color indexed="10"/>
      <name val="굴림"/>
      <family val="3"/>
      <charset val="129"/>
    </font>
    <font>
      <sz val="13"/>
      <color indexed="8"/>
      <name val="휴먼명조"/>
      <family val="3"/>
      <charset val="129"/>
    </font>
    <font>
      <sz val="13"/>
      <color indexed="10"/>
      <name val="휴먼명조"/>
      <family val="3"/>
      <charset val="129"/>
    </font>
    <font>
      <sz val="13"/>
      <color indexed="10"/>
      <name val="HCI Poppy"/>
      <family val="2"/>
    </font>
    <font>
      <sz val="13"/>
      <color indexed="8"/>
      <name val="HCI Poppy"/>
      <family val="2"/>
    </font>
    <font>
      <sz val="9"/>
      <color indexed="63"/>
      <name val="Dotum"/>
      <family val="3"/>
    </font>
    <font>
      <sz val="11"/>
      <color indexed="12"/>
      <name val="굴림"/>
      <family val="3"/>
      <charset val="129"/>
    </font>
    <font>
      <sz val="11"/>
      <color indexed="8"/>
      <name val="맑은 고딕"/>
      <family val="3"/>
      <charset val="129"/>
    </font>
    <font>
      <sz val="24"/>
      <color indexed="8"/>
      <name val="HY울릉도M"/>
      <family val="1"/>
      <charset val="129"/>
    </font>
    <font>
      <sz val="8"/>
      <name val="맑은 고딕"/>
      <family val="3"/>
      <charset val="129"/>
    </font>
    <font>
      <b/>
      <sz val="8"/>
      <name val="굴림체"/>
      <family val="3"/>
      <charset val="129"/>
    </font>
    <font>
      <b/>
      <sz val="10"/>
      <color indexed="12"/>
      <name val="MS Gothic"/>
      <family val="3"/>
      <charset val="128"/>
    </font>
    <font>
      <b/>
      <sz val="18"/>
      <name val="굴림체"/>
      <family val="3"/>
      <charset val="129"/>
    </font>
    <font>
      <sz val="11"/>
      <color indexed="8"/>
      <name val="HY울릉도M"/>
      <family val="1"/>
      <charset val="129"/>
    </font>
    <font>
      <sz val="14"/>
      <name val="굴림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8">
    <xf numFmtId="0" fontId="0" fillId="0" borderId="0"/>
    <xf numFmtId="0" fontId="25" fillId="0" borderId="0"/>
    <xf numFmtId="0" fontId="25" fillId="0" borderId="0"/>
    <xf numFmtId="211" fontId="29" fillId="0" borderId="0" applyFill="0" applyBorder="0" applyAlignment="0"/>
    <xf numFmtId="0" fontId="62" fillId="0" borderId="0"/>
    <xf numFmtId="0" fontId="63" fillId="0" borderId="0" applyFont="0" applyFill="0" applyBorder="0" applyAlignment="0" applyProtection="0"/>
    <xf numFmtId="209" fontId="29" fillId="0" borderId="0"/>
    <xf numFmtId="0" fontId="63" fillId="0" borderId="0" applyFont="0" applyFill="0" applyBorder="0" applyAlignment="0" applyProtection="0"/>
    <xf numFmtId="0" fontId="64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208" fontId="25" fillId="0" borderId="0"/>
    <xf numFmtId="206" fontId="29" fillId="0" borderId="0"/>
    <xf numFmtId="0" fontId="65" fillId="0" borderId="0" applyNumberFormat="0" applyAlignment="0">
      <alignment horizontal="left"/>
    </xf>
    <xf numFmtId="38" fontId="66" fillId="2" borderId="0" applyNumberFormat="0" applyBorder="0" applyAlignment="0" applyProtection="0"/>
    <xf numFmtId="0" fontId="67" fillId="0" borderId="0">
      <alignment horizontal="left"/>
    </xf>
    <xf numFmtId="0" fontId="68" fillId="0" borderId="1" applyNumberFormat="0" applyAlignment="0" applyProtection="0">
      <alignment horizontal="left" vertical="center"/>
    </xf>
    <xf numFmtId="0" fontId="68" fillId="0" borderId="2">
      <alignment horizontal="left" vertical="center"/>
    </xf>
    <xf numFmtId="10" fontId="66" fillId="2" borderId="3" applyNumberFormat="0" applyBorder="0" applyAlignment="0" applyProtection="0"/>
    <xf numFmtId="0" fontId="69" fillId="0" borderId="4"/>
    <xf numFmtId="207" fontId="29" fillId="0" borderId="0"/>
    <xf numFmtId="0" fontId="63" fillId="0" borderId="0"/>
    <xf numFmtId="10" fontId="63" fillId="0" borderId="0" applyFont="0" applyFill="0" applyBorder="0" applyAlignment="0" applyProtection="0"/>
    <xf numFmtId="30" fontId="70" fillId="0" borderId="0" applyNumberFormat="0" applyFill="0" applyBorder="0" applyAlignment="0" applyProtection="0">
      <alignment horizontal="left"/>
    </xf>
    <xf numFmtId="0" fontId="69" fillId="0" borderId="0"/>
    <xf numFmtId="40" fontId="71" fillId="0" borderId="0" applyBorder="0">
      <alignment horizontal="right"/>
    </xf>
    <xf numFmtId="210" fontId="5" fillId="0" borderId="5" applyFont="0" applyFill="0" applyBorder="0" applyAlignment="0">
      <alignment horizontal="left" vertical="center"/>
    </xf>
    <xf numFmtId="0" fontId="59" fillId="0" borderId="0" applyNumberFormat="0" applyFill="0" applyBorder="0" applyAlignment="0" applyProtection="0">
      <alignment vertical="top"/>
      <protection locked="0"/>
    </xf>
    <xf numFmtId="40" fontId="60" fillId="0" borderId="0" applyFont="0" applyFill="0" applyBorder="0" applyAlignment="0" applyProtection="0"/>
    <xf numFmtId="38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9" fillId="0" borderId="0"/>
    <xf numFmtId="0" fontId="28" fillId="0" borderId="0"/>
    <xf numFmtId="0" fontId="28" fillId="0" borderId="0"/>
    <xf numFmtId="0" fontId="29" fillId="0" borderId="0">
      <alignment vertical="center"/>
    </xf>
    <xf numFmtId="0" fontId="29" fillId="0" borderId="0"/>
    <xf numFmtId="0" fontId="1" fillId="0" borderId="0">
      <alignment vertical="center"/>
    </xf>
    <xf numFmtId="0" fontId="82" fillId="0" borderId="0">
      <alignment vertical="center"/>
    </xf>
    <xf numFmtId="41" fontId="8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34">
    <xf numFmtId="0" fontId="0" fillId="0" borderId="0" xfId="0"/>
    <xf numFmtId="0" fontId="5" fillId="0" borderId="7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right"/>
      <protection hidden="1"/>
    </xf>
    <xf numFmtId="0" fontId="5" fillId="3" borderId="8" xfId="0" applyFont="1" applyFill="1" applyBorder="1" applyAlignment="1" applyProtection="1">
      <alignment horizontal="center" vertical="center"/>
      <protection hidden="1"/>
    </xf>
    <xf numFmtId="0" fontId="5" fillId="3" borderId="3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41" fontId="5" fillId="0" borderId="9" xfId="35" applyFont="1" applyBorder="1" applyAlignment="1" applyProtection="1">
      <alignment horizontal="center" vertical="center"/>
      <protection hidden="1"/>
    </xf>
    <xf numFmtId="41" fontId="5" fillId="0" borderId="10" xfId="35" applyFont="1" applyBorder="1" applyAlignment="1" applyProtection="1">
      <alignment horizontal="center" vertical="center"/>
      <protection hidden="1"/>
    </xf>
    <xf numFmtId="9" fontId="5" fillId="0" borderId="8" xfId="32" applyFont="1" applyBorder="1" applyAlignment="1" applyProtection="1">
      <alignment horizontal="center" vertical="center"/>
      <protection hidden="1"/>
    </xf>
    <xf numFmtId="41" fontId="5" fillId="0" borderId="3" xfId="35" applyFont="1" applyBorder="1" applyAlignment="1" applyProtection="1">
      <alignment horizontal="center" vertical="center"/>
      <protection hidden="1"/>
    </xf>
    <xf numFmtId="41" fontId="5" fillId="0" borderId="11" xfId="35" applyFont="1" applyBorder="1" applyAlignment="1" applyProtection="1">
      <alignment horizontal="center" vertical="center"/>
      <protection hidden="1"/>
    </xf>
    <xf numFmtId="10" fontId="5" fillId="0" borderId="12" xfId="32" applyNumberFormat="1" applyFont="1" applyBorder="1" applyAlignment="1" applyProtection="1">
      <alignment horizontal="center" vertical="center"/>
      <protection hidden="1"/>
    </xf>
    <xf numFmtId="41" fontId="5" fillId="0" borderId="7" xfId="35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 vertical="center"/>
      <protection hidden="1"/>
    </xf>
    <xf numFmtId="41" fontId="2" fillId="3" borderId="3" xfId="35" applyFont="1" applyFill="1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 applyProtection="1">
      <alignment horizontal="center" vertical="center"/>
      <protection hidden="1"/>
    </xf>
    <xf numFmtId="41" fontId="2" fillId="0" borderId="3" xfId="35" applyFont="1" applyBorder="1" applyAlignment="1" applyProtection="1">
      <alignment horizontal="center" vertical="center"/>
      <protection hidden="1"/>
    </xf>
    <xf numFmtId="10" fontId="2" fillId="0" borderId="3" xfId="32" applyNumberFormat="1" applyFont="1" applyBorder="1" applyAlignment="1" applyProtection="1">
      <alignment horizontal="center" vertical="center"/>
      <protection hidden="1"/>
    </xf>
    <xf numFmtId="41" fontId="5" fillId="0" borderId="7" xfId="0" applyNumberFormat="1" applyFont="1" applyBorder="1" applyAlignment="1" applyProtection="1">
      <alignment horizontal="center" vertical="center"/>
      <protection hidden="1"/>
    </xf>
    <xf numFmtId="41" fontId="6" fillId="0" borderId="9" xfId="35" applyFont="1" applyBorder="1" applyAlignment="1" applyProtection="1">
      <alignment horizontal="center" vertical="center"/>
      <protection hidden="1"/>
    </xf>
    <xf numFmtId="0" fontId="5" fillId="0" borderId="13" xfId="0" applyFont="1" applyBorder="1" applyAlignment="1" applyProtection="1">
      <alignment horizontal="center" vertical="center"/>
      <protection hidden="1"/>
    </xf>
    <xf numFmtId="10" fontId="5" fillId="0" borderId="13" xfId="35" applyNumberFormat="1" applyFont="1" applyBorder="1" applyAlignment="1" applyProtection="1">
      <alignment horizontal="center" vertical="center"/>
      <protection hidden="1"/>
    </xf>
    <xf numFmtId="41" fontId="7" fillId="0" borderId="13" xfId="35" applyFont="1" applyBorder="1" applyAlignment="1" applyProtection="1">
      <alignment horizontal="center" vertical="center"/>
      <protection hidden="1"/>
    </xf>
    <xf numFmtId="10" fontId="5" fillId="0" borderId="3" xfId="32" applyNumberFormat="1" applyFont="1" applyBorder="1" applyAlignment="1" applyProtection="1">
      <alignment horizontal="center" vertical="center"/>
      <protection hidden="1"/>
    </xf>
    <xf numFmtId="41" fontId="5" fillId="0" borderId="3" xfId="35" applyNumberFormat="1" applyFont="1" applyBorder="1" applyAlignment="1" applyProtection="1">
      <alignment horizontal="center" vertical="center"/>
      <protection hidden="1"/>
    </xf>
    <xf numFmtId="41" fontId="7" fillId="0" borderId="3" xfId="35" applyFont="1" applyBorder="1" applyAlignment="1" applyProtection="1">
      <alignment horizontal="center" vertical="center"/>
      <protection hidden="1"/>
    </xf>
    <xf numFmtId="177" fontId="5" fillId="0" borderId="3" xfId="35" applyNumberFormat="1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left" vertical="center"/>
      <protection hidden="1"/>
    </xf>
    <xf numFmtId="10" fontId="5" fillId="0" borderId="14" xfId="32" applyNumberFormat="1" applyFont="1" applyBorder="1" applyAlignment="1" applyProtection="1">
      <alignment horizontal="center" vertical="center"/>
      <protection hidden="1"/>
    </xf>
    <xf numFmtId="10" fontId="5" fillId="0" borderId="13" xfId="32" applyNumberFormat="1" applyFont="1" applyBorder="1" applyAlignment="1" applyProtection="1">
      <alignment horizontal="center" vertical="center"/>
      <protection hidden="1"/>
    </xf>
    <xf numFmtId="41" fontId="6" fillId="0" borderId="3" xfId="35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10" fontId="6" fillId="0" borderId="3" xfId="32" applyNumberFormat="1" applyFont="1" applyBorder="1" applyAlignment="1" applyProtection="1">
      <alignment horizontal="center" vertical="center"/>
      <protection hidden="1"/>
    </xf>
    <xf numFmtId="2" fontId="6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41" fontId="23" fillId="0" borderId="3" xfId="35" applyFont="1" applyBorder="1" applyAlignment="1" applyProtection="1">
      <alignment horizontal="center" vertical="center"/>
      <protection hidden="1"/>
    </xf>
    <xf numFmtId="182" fontId="23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41" fontId="6" fillId="0" borderId="0" xfId="0" applyNumberFormat="1" applyFont="1" applyAlignment="1" applyProtection="1">
      <alignment horizontal="left" vertical="center"/>
      <protection hidden="1"/>
    </xf>
    <xf numFmtId="177" fontId="6" fillId="0" borderId="0" xfId="0" applyNumberFormat="1" applyFont="1" applyAlignment="1" applyProtection="1">
      <alignment horizontal="center" vertical="center"/>
      <protection hidden="1"/>
    </xf>
    <xf numFmtId="180" fontId="6" fillId="0" borderId="0" xfId="32" applyNumberFormat="1" applyFont="1" applyAlignment="1" applyProtection="1">
      <alignment horizontal="center" vertical="center"/>
      <protection hidden="1"/>
    </xf>
    <xf numFmtId="0" fontId="6" fillId="3" borderId="3" xfId="0" applyFont="1" applyFill="1" applyBorder="1" applyAlignment="1" applyProtection="1">
      <alignment horizontal="center" vertical="center"/>
      <protection hidden="1"/>
    </xf>
    <xf numFmtId="41" fontId="6" fillId="0" borderId="3" xfId="0" applyNumberFormat="1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10" fillId="0" borderId="6" xfId="0" applyFont="1" applyBorder="1" applyAlignment="1" applyProtection="1">
      <alignment horizontal="center" vertical="center"/>
      <protection hidden="1"/>
    </xf>
    <xf numFmtId="0" fontId="11" fillId="0" borderId="6" xfId="0" applyFont="1" applyBorder="1" applyAlignment="1" applyProtection="1">
      <alignment horizontal="right"/>
      <protection hidden="1"/>
    </xf>
    <xf numFmtId="0" fontId="11" fillId="3" borderId="3" xfId="0" applyFont="1" applyFill="1" applyBorder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1" fillId="0" borderId="15" xfId="0" applyFont="1" applyBorder="1" applyAlignment="1" applyProtection="1">
      <alignment horizontal="center" vertical="center"/>
      <protection hidden="1"/>
    </xf>
    <xf numFmtId="0" fontId="11" fillId="0" borderId="5" xfId="0" applyFont="1" applyBorder="1" applyAlignment="1" applyProtection="1">
      <alignment horizontal="center" vertical="center"/>
      <protection hidden="1"/>
    </xf>
    <xf numFmtId="41" fontId="11" fillId="0" borderId="0" xfId="0" applyNumberFormat="1" applyFont="1" applyAlignment="1" applyProtection="1">
      <alignment horizontal="center" vertical="center"/>
      <protection hidden="1"/>
    </xf>
    <xf numFmtId="41" fontId="11" fillId="0" borderId="3" xfId="35" applyNumberFormat="1" applyFont="1" applyBorder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left" vertical="center"/>
      <protection hidden="1"/>
    </xf>
    <xf numFmtId="41" fontId="11" fillId="0" borderId="0" xfId="35" applyFont="1" applyAlignment="1" applyProtection="1">
      <alignment horizontal="center" vertical="center"/>
      <protection hidden="1"/>
    </xf>
    <xf numFmtId="0" fontId="11" fillId="0" borderId="15" xfId="0" applyFont="1" applyBorder="1" applyAlignment="1" applyProtection="1">
      <alignment horizontal="left" vertical="center"/>
      <protection hidden="1"/>
    </xf>
    <xf numFmtId="0" fontId="15" fillId="0" borderId="5" xfId="0" applyFont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left" vertical="center"/>
      <protection hidden="1"/>
    </xf>
    <xf numFmtId="0" fontId="15" fillId="0" borderId="9" xfId="0" applyFont="1" applyBorder="1" applyAlignment="1" applyProtection="1">
      <alignment horizontal="left" vertical="center"/>
      <protection hidden="1"/>
    </xf>
    <xf numFmtId="10" fontId="16" fillId="0" borderId="13" xfId="32" applyNumberFormat="1" applyFont="1" applyBorder="1" applyAlignment="1" applyProtection="1">
      <alignment horizontal="center" vertical="center"/>
      <protection hidden="1"/>
    </xf>
    <xf numFmtId="0" fontId="12" fillId="0" borderId="13" xfId="0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 applyProtection="1">
      <alignment horizontal="center" vertical="center"/>
      <protection hidden="1"/>
    </xf>
    <xf numFmtId="0" fontId="11" fillId="0" borderId="10" xfId="0" applyFont="1" applyBorder="1" applyAlignment="1" applyProtection="1">
      <alignment horizontal="left" vertical="center"/>
      <protection hidden="1"/>
    </xf>
    <xf numFmtId="0" fontId="9" fillId="0" borderId="9" xfId="0" applyFont="1" applyBorder="1" applyAlignment="1" applyProtection="1">
      <alignment horizontal="left" vertical="center"/>
      <protection hidden="1"/>
    </xf>
    <xf numFmtId="0" fontId="9" fillId="0" borderId="9" xfId="0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 applyProtection="1">
      <alignment horizontal="left" vertical="center"/>
      <protection hidden="1"/>
    </xf>
    <xf numFmtId="10" fontId="18" fillId="0" borderId="13" xfId="32" applyNumberFormat="1" applyFont="1" applyBorder="1" applyAlignment="1" applyProtection="1">
      <alignment horizontal="center" vertical="center"/>
      <protection hidden="1"/>
    </xf>
    <xf numFmtId="0" fontId="12" fillId="0" borderId="10" xfId="0" applyFont="1" applyBorder="1" applyAlignment="1" applyProtection="1">
      <alignment horizontal="center" vertical="center"/>
      <protection hidden="1"/>
    </xf>
    <xf numFmtId="10" fontId="11" fillId="0" borderId="0" xfId="32" applyNumberFormat="1" applyFont="1" applyAlignment="1" applyProtection="1">
      <alignment horizontal="center" vertical="center"/>
      <protection hidden="1"/>
    </xf>
    <xf numFmtId="41" fontId="17" fillId="0" borderId="3" xfId="35" applyFont="1" applyBorder="1" applyAlignment="1" applyProtection="1">
      <alignment horizontal="center" vertical="center"/>
      <protection hidden="1"/>
    </xf>
    <xf numFmtId="9" fontId="20" fillId="0" borderId="0" xfId="32" applyFont="1" applyAlignment="1" applyProtection="1">
      <alignment horizontal="center" vertical="center"/>
      <protection hidden="1"/>
    </xf>
    <xf numFmtId="10" fontId="9" fillId="0" borderId="0" xfId="32" applyNumberFormat="1" applyFont="1" applyAlignment="1" applyProtection="1">
      <alignment horizontal="center" vertical="center"/>
      <protection hidden="1"/>
    </xf>
    <xf numFmtId="41" fontId="14" fillId="0" borderId="0" xfId="0" applyNumberFormat="1" applyFont="1" applyAlignment="1" applyProtection="1">
      <alignment horizontal="center" vertical="center"/>
      <protection hidden="1"/>
    </xf>
    <xf numFmtId="41" fontId="17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right" vertical="center"/>
      <protection hidden="1"/>
    </xf>
    <xf numFmtId="41" fontId="13" fillId="0" borderId="0" xfId="35" applyFont="1" applyAlignment="1" applyProtection="1">
      <alignment horizontal="center" vertical="center"/>
      <protection hidden="1"/>
    </xf>
    <xf numFmtId="0" fontId="11" fillId="0" borderId="3" xfId="0" applyFont="1" applyBorder="1" applyAlignment="1" applyProtection="1">
      <alignment horizontal="center" vertical="center"/>
      <protection hidden="1"/>
    </xf>
    <xf numFmtId="185" fontId="7" fillId="0" borderId="0" xfId="0" applyNumberFormat="1" applyFont="1" applyAlignment="1" applyProtection="1">
      <alignment horizontal="center" vertical="center"/>
      <protection hidden="1"/>
    </xf>
    <xf numFmtId="177" fontId="23" fillId="0" borderId="3" xfId="32" applyNumberFormat="1" applyFont="1" applyBorder="1" applyAlignment="1" applyProtection="1">
      <alignment horizontal="center" vertical="center"/>
      <protection hidden="1"/>
    </xf>
    <xf numFmtId="177" fontId="5" fillId="3" borderId="3" xfId="32" applyNumberFormat="1" applyFont="1" applyFill="1" applyBorder="1" applyAlignment="1" applyProtection="1">
      <alignment horizontal="center" vertical="center"/>
      <protection hidden="1"/>
    </xf>
    <xf numFmtId="0" fontId="11" fillId="0" borderId="0" xfId="0" applyFont="1" applyBorder="1" applyAlignment="1" applyProtection="1">
      <alignment horizontal="center" vertical="center"/>
      <protection hidden="1"/>
    </xf>
    <xf numFmtId="41" fontId="11" fillId="0" borderId="0" xfId="35" applyFont="1" applyBorder="1" applyAlignment="1" applyProtection="1">
      <alignment horizontal="center" vertical="center"/>
      <protection hidden="1"/>
    </xf>
    <xf numFmtId="41" fontId="11" fillId="0" borderId="0" xfId="0" applyNumberFormat="1" applyFont="1" applyBorder="1" applyAlignment="1" applyProtection="1">
      <alignment horizontal="center" vertical="center"/>
      <protection hidden="1"/>
    </xf>
    <xf numFmtId="178" fontId="23" fillId="0" borderId="3" xfId="35" applyNumberFormat="1" applyFont="1" applyBorder="1" applyAlignment="1" applyProtection="1">
      <alignment horizontal="center" vertical="center"/>
      <protection hidden="1"/>
    </xf>
    <xf numFmtId="177" fontId="6" fillId="0" borderId="0" xfId="32" applyNumberFormat="1" applyFont="1" applyAlignment="1" applyProtection="1">
      <alignment horizontal="left" vertical="center"/>
      <protection hidden="1"/>
    </xf>
    <xf numFmtId="0" fontId="5" fillId="0" borderId="20" xfId="0" applyFont="1" applyBorder="1" applyAlignment="1" applyProtection="1">
      <alignment horizontal="center" vertical="center"/>
      <protection hidden="1"/>
    </xf>
    <xf numFmtId="0" fontId="5" fillId="0" borderId="21" xfId="0" applyFont="1" applyFill="1" applyBorder="1" applyAlignment="1" applyProtection="1">
      <alignment horizontal="center" vertical="center"/>
      <protection hidden="1"/>
    </xf>
    <xf numFmtId="181" fontId="5" fillId="0" borderId="20" xfId="35" applyNumberFormat="1" applyFont="1" applyBorder="1" applyAlignment="1" applyProtection="1">
      <alignment horizontal="right" vertical="center"/>
      <protection hidden="1"/>
    </xf>
    <xf numFmtId="41" fontId="5" fillId="0" borderId="8" xfId="35" applyFont="1" applyBorder="1" applyAlignment="1" applyProtection="1">
      <alignment horizontal="center" vertical="center"/>
      <protection hidden="1"/>
    </xf>
    <xf numFmtId="41" fontId="5" fillId="0" borderId="3" xfId="35" applyFont="1" applyBorder="1" applyAlignment="1" applyProtection="1">
      <alignment horizontal="center" vertical="center" shrinkToFit="1"/>
      <protection hidden="1"/>
    </xf>
    <xf numFmtId="14" fontId="5" fillId="0" borderId="20" xfId="35" applyNumberFormat="1" applyFont="1" applyBorder="1" applyAlignment="1" applyProtection="1">
      <alignment horizontal="center" vertical="center" shrinkToFit="1"/>
      <protection hidden="1"/>
    </xf>
    <xf numFmtId="41" fontId="5" fillId="0" borderId="0" xfId="35" applyFont="1" applyBorder="1" applyAlignment="1" applyProtection="1">
      <alignment horizontal="center" vertical="center"/>
      <protection hidden="1"/>
    </xf>
    <xf numFmtId="41" fontId="5" fillId="0" borderId="0" xfId="35" applyFont="1" applyAlignment="1" applyProtection="1">
      <alignment horizontal="center" vertical="center"/>
      <protection hidden="1"/>
    </xf>
    <xf numFmtId="189" fontId="6" fillId="0" borderId="3" xfId="35" applyNumberFormat="1" applyFont="1" applyBorder="1" applyAlignment="1" applyProtection="1">
      <alignment horizontal="center" vertical="center"/>
      <protection hidden="1"/>
    </xf>
    <xf numFmtId="41" fontId="6" fillId="0" borderId="0" xfId="0" applyNumberFormat="1" applyFont="1" applyAlignment="1" applyProtection="1">
      <alignment horizontal="center" vertical="center"/>
      <protection hidden="1"/>
    </xf>
    <xf numFmtId="176" fontId="6" fillId="0" borderId="0" xfId="35" applyNumberFormat="1" applyFont="1" applyAlignment="1" applyProtection="1">
      <alignment horizontal="left" vertical="center"/>
      <protection hidden="1"/>
    </xf>
    <xf numFmtId="181" fontId="5" fillId="0" borderId="8" xfId="35" applyNumberFormat="1" applyFont="1" applyBorder="1" applyAlignment="1" applyProtection="1">
      <alignment horizontal="center" vertical="center"/>
      <protection hidden="1"/>
    </xf>
    <xf numFmtId="192" fontId="5" fillId="0" borderId="0" xfId="0" applyNumberFormat="1" applyFont="1" applyAlignment="1" applyProtection="1">
      <alignment horizontal="center" vertical="center"/>
      <protection hidden="1"/>
    </xf>
    <xf numFmtId="178" fontId="5" fillId="0" borderId="0" xfId="35" applyNumberFormat="1" applyFont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43" fontId="11" fillId="0" borderId="0" xfId="0" applyNumberFormat="1" applyFont="1" applyBorder="1" applyAlignment="1" applyProtection="1">
      <alignment horizontal="center" vertical="center"/>
      <protection hidden="1"/>
    </xf>
    <xf numFmtId="41" fontId="21" fillId="0" borderId="3" xfId="35" applyFont="1" applyBorder="1" applyAlignment="1" applyProtection="1">
      <alignment horizontal="center" vertical="center"/>
      <protection hidden="1"/>
    </xf>
    <xf numFmtId="189" fontId="11" fillId="0" borderId="0" xfId="35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right" vertical="center"/>
      <protection hidden="1"/>
    </xf>
    <xf numFmtId="0" fontId="10" fillId="0" borderId="6" xfId="0" applyFont="1" applyBorder="1" applyAlignment="1" applyProtection="1">
      <alignment horizontal="right" vertical="center"/>
      <protection hidden="1"/>
    </xf>
    <xf numFmtId="0" fontId="11" fillId="3" borderId="3" xfId="0" applyFont="1" applyFill="1" applyBorder="1" applyAlignment="1" applyProtection="1">
      <alignment horizontal="right" vertical="center"/>
      <protection hidden="1"/>
    </xf>
    <xf numFmtId="10" fontId="11" fillId="0" borderId="3" xfId="32" applyNumberFormat="1" applyFont="1" applyBorder="1" applyAlignment="1" applyProtection="1">
      <alignment horizontal="right" vertical="center"/>
      <protection hidden="1"/>
    </xf>
    <xf numFmtId="0" fontId="28" fillId="0" borderId="0" xfId="40" applyAlignment="1">
      <alignment vertical="center"/>
    </xf>
    <xf numFmtId="0" fontId="31" fillId="0" borderId="0" xfId="40" applyFont="1" applyAlignment="1">
      <alignment vertical="center"/>
    </xf>
    <xf numFmtId="0" fontId="28" fillId="0" borderId="0" xfId="40" applyFill="1" applyBorder="1" applyAlignment="1">
      <alignment vertical="center"/>
    </xf>
    <xf numFmtId="0" fontId="28" fillId="0" borderId="3" xfId="40" applyBorder="1" applyAlignment="1">
      <alignment horizontal="center" vertical="center"/>
    </xf>
    <xf numFmtId="41" fontId="28" fillId="0" borderId="3" xfId="35" applyFont="1" applyBorder="1" applyAlignment="1">
      <alignment horizontal="center" vertical="center"/>
    </xf>
    <xf numFmtId="178" fontId="28" fillId="0" borderId="3" xfId="35" applyNumberFormat="1" applyFont="1" applyBorder="1" applyAlignment="1">
      <alignment horizontal="center" vertical="center"/>
    </xf>
    <xf numFmtId="176" fontId="28" fillId="0" borderId="3" xfId="35" applyNumberFormat="1" applyFont="1" applyBorder="1" applyAlignment="1">
      <alignment horizontal="center" vertical="center"/>
    </xf>
    <xf numFmtId="182" fontId="28" fillId="0" borderId="0" xfId="40" applyNumberFormat="1" applyAlignment="1">
      <alignment vertical="center"/>
    </xf>
    <xf numFmtId="0" fontId="28" fillId="0" borderId="0" xfId="40"/>
    <xf numFmtId="194" fontId="28" fillId="0" borderId="0" xfId="40" applyNumberFormat="1" applyAlignment="1">
      <alignment vertical="center"/>
    </xf>
    <xf numFmtId="0" fontId="28" fillId="0" borderId="0" xfId="40" applyAlignment="1"/>
    <xf numFmtId="194" fontId="28" fillId="0" borderId="0" xfId="40" applyNumberFormat="1" applyAlignment="1"/>
    <xf numFmtId="0" fontId="32" fillId="0" borderId="0" xfId="40" applyFont="1" applyAlignment="1">
      <alignment horizontal="center" vertical="center"/>
    </xf>
    <xf numFmtId="0" fontId="33" fillId="0" borderId="0" xfId="40" applyFont="1"/>
    <xf numFmtId="0" fontId="34" fillId="0" borderId="0" xfId="40" applyFont="1" applyAlignment="1">
      <alignment vertical="center"/>
    </xf>
    <xf numFmtId="0" fontId="33" fillId="0" borderId="0" xfId="40" applyFont="1" applyAlignment="1">
      <alignment vertical="center"/>
    </xf>
    <xf numFmtId="0" fontId="33" fillId="4" borderId="3" xfId="40" applyFont="1" applyFill="1" applyBorder="1" applyAlignment="1">
      <alignment horizontal="center" vertical="center"/>
    </xf>
    <xf numFmtId="0" fontId="33" fillId="0" borderId="3" xfId="40" applyFont="1" applyBorder="1" applyAlignment="1">
      <alignment horizontal="center" vertical="center"/>
    </xf>
    <xf numFmtId="0" fontId="33" fillId="0" borderId="3" xfId="40" applyFont="1" applyBorder="1" applyAlignment="1">
      <alignment vertical="center"/>
    </xf>
    <xf numFmtId="0" fontId="33" fillId="0" borderId="0" xfId="40" applyFont="1" applyBorder="1" applyAlignment="1">
      <alignment horizontal="center" vertical="center"/>
    </xf>
    <xf numFmtId="0" fontId="33" fillId="0" borderId="0" xfId="40" applyFont="1" applyBorder="1" applyAlignment="1">
      <alignment vertical="center"/>
    </xf>
    <xf numFmtId="0" fontId="33" fillId="0" borderId="0" xfId="40" applyFont="1" applyFill="1" applyAlignment="1">
      <alignment vertical="center"/>
    </xf>
    <xf numFmtId="10" fontId="33" fillId="0" borderId="0" xfId="40" applyNumberFormat="1" applyFont="1" applyAlignment="1">
      <alignment vertical="center"/>
    </xf>
    <xf numFmtId="189" fontId="33" fillId="0" borderId="0" xfId="35" applyNumberFormat="1" applyFont="1" applyAlignment="1">
      <alignment vertical="center"/>
    </xf>
    <xf numFmtId="41" fontId="33" fillId="0" borderId="0" xfId="35" applyFont="1" applyAlignment="1">
      <alignment vertical="center"/>
    </xf>
    <xf numFmtId="0" fontId="15" fillId="0" borderId="0" xfId="43" applyFont="1" applyAlignment="1">
      <alignment horizontal="left" vertical="top" wrapText="1"/>
    </xf>
    <xf numFmtId="0" fontId="35" fillId="0" borderId="0" xfId="43" applyFont="1" applyAlignment="1">
      <alignment horizontal="left" vertical="center"/>
    </xf>
    <xf numFmtId="0" fontId="24" fillId="0" borderId="0" xfId="43" applyFont="1" applyAlignment="1">
      <alignment horizontal="left" vertical="center"/>
    </xf>
    <xf numFmtId="0" fontId="37" fillId="0" borderId="0" xfId="43" applyFont="1" applyAlignment="1">
      <alignment horizontal="left" vertical="center"/>
    </xf>
    <xf numFmtId="199" fontId="38" fillId="0" borderId="0" xfId="38" applyNumberFormat="1" applyFont="1" applyAlignment="1">
      <alignment horizontal="center" vertical="center"/>
    </xf>
    <xf numFmtId="0" fontId="26" fillId="0" borderId="0" xfId="43" applyFont="1" applyAlignment="1">
      <alignment horizontal="left" vertical="center"/>
    </xf>
    <xf numFmtId="199" fontId="37" fillId="0" borderId="0" xfId="38" applyNumberFormat="1" applyFont="1" applyAlignment="1">
      <alignment horizontal="center" vertical="center"/>
    </xf>
    <xf numFmtId="0" fontId="39" fillId="0" borderId="0" xfId="43" applyFont="1" applyAlignment="1">
      <alignment vertical="center"/>
    </xf>
    <xf numFmtId="0" fontId="2" fillId="0" borderId="0" xfId="43" applyFont="1" applyAlignment="1">
      <alignment horizontal="left" vertical="center"/>
    </xf>
    <xf numFmtId="0" fontId="39" fillId="0" borderId="0" xfId="43" applyFont="1" applyAlignment="1">
      <alignment horizontal="left" vertical="center"/>
    </xf>
    <xf numFmtId="0" fontId="39" fillId="0" borderId="0" xfId="43" applyFont="1" applyAlignment="1">
      <alignment horizontal="right" vertical="center"/>
    </xf>
    <xf numFmtId="199" fontId="39" fillId="0" borderId="0" xfId="35" applyNumberFormat="1" applyFont="1" applyAlignment="1">
      <alignment horizontal="right" vertical="center"/>
    </xf>
    <xf numFmtId="199" fontId="39" fillId="0" borderId="0" xfId="43" applyNumberFormat="1" applyFont="1" applyAlignment="1">
      <alignment vertical="center"/>
    </xf>
    <xf numFmtId="0" fontId="39" fillId="0" borderId="0" xfId="43" applyFont="1" applyAlignment="1">
      <alignment horizontal="center" vertical="center"/>
    </xf>
    <xf numFmtId="0" fontId="39" fillId="0" borderId="0" xfId="43" applyNumberFormat="1" applyFont="1" applyAlignment="1" applyProtection="1">
      <alignment horizontal="left" vertical="center"/>
      <protection locked="0"/>
    </xf>
    <xf numFmtId="0" fontId="39" fillId="0" borderId="0" xfId="35" applyNumberFormat="1" applyFont="1" applyAlignment="1" applyProtection="1">
      <alignment horizontal="center" vertical="center"/>
      <protection locked="0"/>
    </xf>
    <xf numFmtId="0" fontId="37" fillId="0" borderId="0" xfId="35" applyNumberFormat="1" applyFont="1" applyAlignment="1" applyProtection="1">
      <alignment horizontal="center" vertical="center"/>
      <protection locked="0"/>
    </xf>
    <xf numFmtId="0" fontId="37" fillId="0" borderId="0" xfId="43" applyNumberFormat="1" applyFont="1" applyAlignment="1" applyProtection="1">
      <alignment vertical="center"/>
      <protection locked="0"/>
    </xf>
    <xf numFmtId="0" fontId="37" fillId="0" borderId="0" xfId="43" applyNumberFormat="1" applyFont="1" applyAlignment="1" applyProtection="1">
      <alignment horizontal="right" vertical="center"/>
      <protection locked="0"/>
    </xf>
    <xf numFmtId="0" fontId="37" fillId="0" borderId="0" xfId="43" applyNumberFormat="1" applyFont="1" applyAlignment="1" applyProtection="1">
      <alignment horizontal="left" vertical="center"/>
      <protection locked="0"/>
    </xf>
    <xf numFmtId="0" fontId="37" fillId="0" borderId="0" xfId="43" applyNumberFormat="1" applyFont="1" applyAlignment="1" applyProtection="1">
      <alignment horizontal="center" vertical="center"/>
      <protection locked="0"/>
    </xf>
    <xf numFmtId="0" fontId="39" fillId="0" borderId="0" xfId="43" applyNumberFormat="1" applyFont="1" applyAlignment="1" applyProtection="1">
      <alignment horizontal="center" vertical="center"/>
      <protection locked="0"/>
    </xf>
    <xf numFmtId="0" fontId="39" fillId="0" borderId="0" xfId="43" applyNumberFormat="1" applyFont="1" applyAlignment="1" applyProtection="1">
      <alignment horizontal="right" vertical="center"/>
      <protection locked="0"/>
    </xf>
    <xf numFmtId="0" fontId="38" fillId="0" borderId="0" xfId="43" applyNumberFormat="1" applyFont="1" applyAlignment="1" applyProtection="1">
      <alignment horizontal="center" vertical="center"/>
      <protection locked="0"/>
    </xf>
    <xf numFmtId="0" fontId="39" fillId="0" borderId="0" xfId="43" quotePrefix="1" applyNumberFormat="1" applyFont="1" applyAlignment="1" applyProtection="1">
      <alignment horizontal="center" vertical="center"/>
      <protection locked="0"/>
    </xf>
    <xf numFmtId="0" fontId="37" fillId="0" borderId="0" xfId="43" quotePrefix="1" applyNumberFormat="1" applyFont="1" applyAlignment="1" applyProtection="1">
      <alignment horizontal="right" vertical="center"/>
      <protection locked="0"/>
    </xf>
    <xf numFmtId="0" fontId="37" fillId="0" borderId="0" xfId="43" applyNumberFormat="1" applyFont="1" applyBorder="1" applyAlignment="1" applyProtection="1">
      <alignment horizontal="center" vertical="center" shrinkToFit="1"/>
      <protection locked="0"/>
    </xf>
    <xf numFmtId="0" fontId="26" fillId="0" borderId="0" xfId="43" applyNumberFormat="1" applyFont="1" applyAlignment="1" applyProtection="1">
      <alignment horizontal="left" vertical="center"/>
      <protection locked="0"/>
    </xf>
    <xf numFmtId="0" fontId="40" fillId="0" borderId="0" xfId="43" applyNumberFormat="1" applyFont="1" applyAlignment="1" applyProtection="1">
      <alignment horizontal="left" vertical="center"/>
      <protection locked="0"/>
    </xf>
    <xf numFmtId="0" fontId="40" fillId="0" borderId="0" xfId="43" applyNumberFormat="1" applyFont="1" applyAlignment="1" applyProtection="1">
      <alignment horizontal="center" vertical="center"/>
      <protection locked="0"/>
    </xf>
    <xf numFmtId="0" fontId="40" fillId="0" borderId="0" xfId="35" applyNumberFormat="1" applyFont="1" applyAlignment="1" applyProtection="1">
      <alignment horizontal="center" vertical="center"/>
      <protection locked="0"/>
    </xf>
    <xf numFmtId="0" fontId="40" fillId="0" borderId="0" xfId="43" applyNumberFormat="1" applyFont="1" applyAlignment="1" applyProtection="1">
      <alignment horizontal="right" vertical="center"/>
      <protection locked="0"/>
    </xf>
    <xf numFmtId="0" fontId="40" fillId="0" borderId="0" xfId="43" quotePrefix="1" applyNumberFormat="1" applyFont="1" applyAlignment="1" applyProtection="1">
      <alignment horizontal="center" vertical="center"/>
      <protection locked="0"/>
    </xf>
    <xf numFmtId="0" fontId="40" fillId="0" borderId="22" xfId="35" applyNumberFormat="1" applyFont="1" applyBorder="1" applyAlignment="1" applyProtection="1">
      <alignment horizontal="center" vertical="center"/>
      <protection locked="0"/>
    </xf>
    <xf numFmtId="0" fontId="40" fillId="0" borderId="22" xfId="43" applyNumberFormat="1" applyFont="1" applyBorder="1" applyAlignment="1" applyProtection="1">
      <alignment horizontal="left" vertical="center"/>
      <protection locked="0"/>
    </xf>
    <xf numFmtId="0" fontId="40" fillId="0" borderId="22" xfId="43" quotePrefix="1" applyNumberFormat="1" applyFont="1" applyBorder="1" applyAlignment="1" applyProtection="1">
      <alignment horizontal="center" vertical="center"/>
      <protection locked="0"/>
    </xf>
    <xf numFmtId="0" fontId="40" fillId="0" borderId="22" xfId="43" applyNumberFormat="1" applyFont="1" applyBorder="1" applyAlignment="1" applyProtection="1">
      <alignment horizontal="center" vertical="center"/>
      <protection locked="0"/>
    </xf>
    <xf numFmtId="0" fontId="37" fillId="0" borderId="0" xfId="35" applyNumberFormat="1" applyFont="1" applyAlignment="1" applyProtection="1">
      <alignment horizontal="left" vertical="center"/>
      <protection locked="0"/>
    </xf>
    <xf numFmtId="0" fontId="26" fillId="0" borderId="0" xfId="43" quotePrefix="1" applyNumberFormat="1" applyFont="1" applyAlignment="1" applyProtection="1">
      <alignment horizontal="center" vertical="center"/>
      <protection locked="0"/>
    </xf>
    <xf numFmtId="190" fontId="40" fillId="0" borderId="0" xfId="32" applyNumberFormat="1" applyFont="1" applyAlignment="1" applyProtection="1">
      <alignment horizontal="center" vertical="center" shrinkToFit="1"/>
      <protection locked="0"/>
    </xf>
    <xf numFmtId="202" fontId="37" fillId="0" borderId="0" xfId="43" applyNumberFormat="1" applyFont="1" applyAlignment="1" applyProtection="1">
      <alignment horizontal="center" vertical="center"/>
      <protection locked="0"/>
    </xf>
    <xf numFmtId="0" fontId="35" fillId="0" borderId="0" xfId="43" applyNumberFormat="1" applyFont="1" applyAlignment="1" applyProtection="1">
      <alignment horizontal="left" vertical="center"/>
      <protection locked="0"/>
    </xf>
    <xf numFmtId="0" fontId="41" fillId="0" borderId="0" xfId="43" applyNumberFormat="1" applyFont="1" applyAlignment="1" applyProtection="1">
      <alignment horizontal="left" vertical="center"/>
      <protection locked="0"/>
    </xf>
    <xf numFmtId="41" fontId="37" fillId="0" borderId="0" xfId="35" quotePrefix="1" applyFont="1" applyAlignment="1" applyProtection="1">
      <alignment horizontal="center" vertical="center" shrinkToFit="1"/>
      <protection locked="0"/>
    </xf>
    <xf numFmtId="0" fontId="42" fillId="0" borderId="0" xfId="43" applyNumberFormat="1" applyFont="1" applyAlignment="1" applyProtection="1">
      <alignment horizontal="left" vertical="center"/>
      <protection locked="0"/>
    </xf>
    <xf numFmtId="41" fontId="39" fillId="0" borderId="0" xfId="43" applyNumberFormat="1" applyFont="1" applyAlignment="1">
      <alignment horizontal="center" vertical="center"/>
    </xf>
    <xf numFmtId="0" fontId="37" fillId="0" borderId="0" xfId="43" applyFont="1" applyAlignment="1">
      <alignment horizontal="right" vertical="center"/>
    </xf>
    <xf numFmtId="179" fontId="37" fillId="0" borderId="0" xfId="43" applyNumberFormat="1" applyFont="1" applyAlignment="1">
      <alignment horizontal="center" vertical="center"/>
    </xf>
    <xf numFmtId="41" fontId="37" fillId="0" borderId="0" xfId="35" applyFont="1" applyAlignment="1">
      <alignment horizontal="center" vertical="center"/>
    </xf>
    <xf numFmtId="0" fontId="42" fillId="0" borderId="0" xfId="43" applyFont="1" applyAlignment="1">
      <alignment horizontal="left" vertical="center"/>
    </xf>
    <xf numFmtId="198" fontId="39" fillId="0" borderId="0" xfId="43" applyNumberFormat="1" applyFont="1" applyAlignment="1">
      <alignment horizontal="center" vertical="center"/>
    </xf>
    <xf numFmtId="179" fontId="39" fillId="0" borderId="0" xfId="43" applyNumberFormat="1" applyFont="1" applyAlignment="1">
      <alignment horizontal="center" vertical="center"/>
    </xf>
    <xf numFmtId="200" fontId="39" fillId="0" borderId="0" xfId="43" applyNumberFormat="1" applyFont="1" applyAlignment="1">
      <alignment vertical="center"/>
    </xf>
    <xf numFmtId="41" fontId="39" fillId="0" borderId="0" xfId="35" applyFont="1" applyAlignment="1">
      <alignment horizontal="center" vertical="center"/>
    </xf>
    <xf numFmtId="0" fontId="35" fillId="0" borderId="0" xfId="43" applyFont="1" applyAlignment="1">
      <alignment horizontal="center" vertical="center"/>
    </xf>
    <xf numFmtId="0" fontId="44" fillId="0" borderId="0" xfId="42" applyFont="1" applyAlignment="1">
      <alignment horizontal="center" vertical="center"/>
    </xf>
    <xf numFmtId="0" fontId="9" fillId="0" borderId="0" xfId="42" applyFont="1" applyAlignment="1">
      <alignment horizontal="center" vertical="center"/>
    </xf>
    <xf numFmtId="0" fontId="9" fillId="0" borderId="0" xfId="42" applyFont="1" applyAlignment="1">
      <alignment vertical="center"/>
    </xf>
    <xf numFmtId="0" fontId="9" fillId="0" borderId="0" xfId="42" applyFont="1" applyAlignment="1">
      <alignment horizontal="left" vertical="center"/>
    </xf>
    <xf numFmtId="0" fontId="43" fillId="0" borderId="0" xfId="42" applyFont="1" applyAlignment="1">
      <alignment horizontal="left" vertical="center"/>
    </xf>
    <xf numFmtId="0" fontId="11" fillId="0" borderId="0" xfId="42" applyFont="1" applyBorder="1" applyAlignment="1">
      <alignment horizontal="left" vertical="center"/>
    </xf>
    <xf numFmtId="0" fontId="9" fillId="0" borderId="0" xfId="42" applyFont="1" applyBorder="1" applyAlignment="1">
      <alignment horizontal="center" vertical="center"/>
    </xf>
    <xf numFmtId="0" fontId="11" fillId="0" borderId="24" xfId="42" applyFont="1" applyBorder="1" applyAlignment="1">
      <alignment horizontal="left" vertical="center"/>
    </xf>
    <xf numFmtId="0" fontId="9" fillId="0" borderId="24" xfId="42" applyFont="1" applyBorder="1" applyAlignment="1">
      <alignment horizontal="center" vertical="center"/>
    </xf>
    <xf numFmtId="0" fontId="11" fillId="0" borderId="6" xfId="42" applyFont="1" applyBorder="1" applyAlignment="1">
      <alignment horizontal="left" vertical="center"/>
    </xf>
    <xf numFmtId="0" fontId="9" fillId="0" borderId="6" xfId="42" applyFont="1" applyBorder="1" applyAlignment="1">
      <alignment horizontal="center" vertical="center"/>
    </xf>
    <xf numFmtId="0" fontId="9" fillId="5" borderId="26" xfId="42" applyFont="1" applyFill="1" applyBorder="1" applyAlignment="1">
      <alignment horizontal="center" vertical="center"/>
    </xf>
    <xf numFmtId="0" fontId="11" fillId="0" borderId="29" xfId="42" applyFont="1" applyBorder="1" applyAlignment="1">
      <alignment horizontal="left" vertical="center"/>
    </xf>
    <xf numFmtId="0" fontId="11" fillId="0" borderId="30" xfId="42" applyFont="1" applyBorder="1" applyAlignment="1">
      <alignment horizontal="left" vertical="center"/>
    </xf>
    <xf numFmtId="0" fontId="11" fillId="0" borderId="0" xfId="42" applyFont="1" applyBorder="1" applyAlignment="1">
      <alignment horizontal="center" vertical="center"/>
    </xf>
    <xf numFmtId="187" fontId="46" fillId="0" borderId="19" xfId="34" applyNumberFormat="1" applyFont="1" applyBorder="1" applyAlignment="1">
      <alignment horizontal="center" vertical="center"/>
    </xf>
    <xf numFmtId="196" fontId="22" fillId="0" borderId="32" xfId="32" applyNumberFormat="1" applyFont="1" applyBorder="1" applyAlignment="1">
      <alignment horizontal="center" vertical="center"/>
    </xf>
    <xf numFmtId="9" fontId="21" fillId="0" borderId="33" xfId="32" applyFont="1" applyBorder="1" applyAlignment="1">
      <alignment horizontal="center" vertical="center"/>
    </xf>
    <xf numFmtId="41" fontId="21" fillId="0" borderId="33" xfId="35" applyFont="1" applyBorder="1" applyAlignment="1">
      <alignment horizontal="center" vertical="center"/>
    </xf>
    <xf numFmtId="187" fontId="11" fillId="0" borderId="34" xfId="34" applyNumberFormat="1" applyFont="1" applyBorder="1" applyAlignment="1">
      <alignment horizontal="right" vertical="center"/>
    </xf>
    <xf numFmtId="0" fontId="22" fillId="0" borderId="31" xfId="42" applyFont="1" applyBorder="1" applyAlignment="1">
      <alignment horizontal="center" vertical="center"/>
    </xf>
    <xf numFmtId="196" fontId="21" fillId="0" borderId="32" xfId="32" applyNumberFormat="1" applyFont="1" applyBorder="1" applyAlignment="1">
      <alignment horizontal="center" vertical="center"/>
    </xf>
    <xf numFmtId="187" fontId="11" fillId="0" borderId="34" xfId="34" applyNumberFormat="1" applyFont="1" applyBorder="1" applyAlignment="1">
      <alignment horizontal="center" vertical="center"/>
    </xf>
    <xf numFmtId="196" fontId="22" fillId="0" borderId="18" xfId="32" applyNumberFormat="1" applyFont="1" applyBorder="1" applyAlignment="1">
      <alignment horizontal="center" vertical="center"/>
    </xf>
    <xf numFmtId="41" fontId="22" fillId="0" borderId="16" xfId="35" applyFont="1" applyBorder="1" applyAlignment="1">
      <alignment horizontal="center" vertical="center"/>
    </xf>
    <xf numFmtId="187" fontId="11" fillId="0" borderId="37" xfId="34" applyNumberFormat="1" applyFont="1" applyBorder="1" applyAlignment="1">
      <alignment horizontal="center" vertical="center"/>
    </xf>
    <xf numFmtId="0" fontId="11" fillId="0" borderId="39" xfId="42" applyFont="1" applyBorder="1" applyAlignment="1">
      <alignment horizontal="left" vertical="center"/>
    </xf>
    <xf numFmtId="186" fontId="11" fillId="0" borderId="24" xfId="34" applyNumberFormat="1" applyFont="1" applyBorder="1" applyAlignment="1">
      <alignment vertical="center"/>
    </xf>
    <xf numFmtId="187" fontId="11" fillId="0" borderId="24" xfId="34" applyNumberFormat="1" applyFont="1" applyBorder="1" applyAlignment="1">
      <alignment horizontal="center" vertical="center"/>
    </xf>
    <xf numFmtId="187" fontId="46" fillId="0" borderId="40" xfId="34" applyNumberFormat="1" applyFont="1" applyBorder="1" applyAlignment="1">
      <alignment horizontal="center" vertical="center"/>
    </xf>
    <xf numFmtId="0" fontId="11" fillId="0" borderId="42" xfId="42" applyFont="1" applyBorder="1" applyAlignment="1">
      <alignment horizontal="center" vertical="center"/>
    </xf>
    <xf numFmtId="187" fontId="11" fillId="0" borderId="6" xfId="34" applyNumberFormat="1" applyFont="1" applyBorder="1" applyAlignment="1">
      <alignment horizontal="center" vertical="center"/>
    </xf>
    <xf numFmtId="187" fontId="11" fillId="0" borderId="6" xfId="34" applyNumberFormat="1" applyFont="1" applyBorder="1" applyAlignment="1">
      <alignment horizontal="left" vertical="center"/>
    </xf>
    <xf numFmtId="9" fontId="11" fillId="0" borderId="6" xfId="32" applyFont="1" applyBorder="1" applyAlignment="1">
      <alignment horizontal="center" vertical="center"/>
    </xf>
    <xf numFmtId="187" fontId="11" fillId="0" borderId="43" xfId="34" applyNumberFormat="1" applyFont="1" applyBorder="1" applyAlignment="1">
      <alignment horizontal="center" vertical="center"/>
    </xf>
    <xf numFmtId="0" fontId="11" fillId="0" borderId="29" xfId="42" applyFont="1" applyBorder="1" applyAlignment="1">
      <alignment horizontal="center" vertical="center"/>
    </xf>
    <xf numFmtId="186" fontId="11" fillId="0" borderId="0" xfId="34" applyNumberFormat="1" applyFont="1" applyBorder="1" applyAlignment="1">
      <alignment horizontal="left" vertical="center"/>
    </xf>
    <xf numFmtId="9" fontId="11" fillId="0" borderId="0" xfId="32" applyFont="1" applyBorder="1" applyAlignment="1">
      <alignment horizontal="center" vertical="center"/>
    </xf>
    <xf numFmtId="187" fontId="11" fillId="0" borderId="0" xfId="34" applyNumberFormat="1" applyFont="1" applyBorder="1" applyAlignment="1">
      <alignment horizontal="center" vertical="center"/>
    </xf>
    <xf numFmtId="187" fontId="11" fillId="0" borderId="0" xfId="34" applyNumberFormat="1" applyFont="1" applyBorder="1" applyAlignment="1">
      <alignment horizontal="left" vertical="center"/>
    </xf>
    <xf numFmtId="187" fontId="11" fillId="0" borderId="19" xfId="34" applyNumberFormat="1" applyFont="1" applyBorder="1" applyAlignment="1">
      <alignment horizontal="center" vertical="center"/>
    </xf>
    <xf numFmtId="0" fontId="11" fillId="0" borderId="39" xfId="42" applyFont="1" applyBorder="1" applyAlignment="1">
      <alignment horizontal="center" vertical="center"/>
    </xf>
    <xf numFmtId="186" fontId="11" fillId="0" borderId="44" xfId="34" applyNumberFormat="1" applyFont="1" applyBorder="1" applyAlignment="1">
      <alignment horizontal="left" vertical="center"/>
    </xf>
    <xf numFmtId="186" fontId="11" fillId="0" borderId="24" xfId="34" applyNumberFormat="1" applyFont="1" applyBorder="1" applyAlignment="1">
      <alignment horizontal="left" vertical="center"/>
    </xf>
    <xf numFmtId="9" fontId="11" fillId="0" borderId="24" xfId="32" applyFont="1" applyBorder="1" applyAlignment="1">
      <alignment horizontal="center" vertical="center"/>
    </xf>
    <xf numFmtId="186" fontId="11" fillId="0" borderId="6" xfId="34" applyNumberFormat="1" applyFont="1" applyBorder="1" applyAlignment="1">
      <alignment horizontal="left" vertical="center"/>
    </xf>
    <xf numFmtId="186" fontId="46" fillId="5" borderId="47" xfId="34" applyNumberFormat="1" applyFont="1" applyFill="1" applyBorder="1" applyAlignment="1">
      <alignment horizontal="left" vertical="center"/>
    </xf>
    <xf numFmtId="10" fontId="46" fillId="5" borderId="47" xfId="32" applyNumberFormat="1" applyFont="1" applyFill="1" applyBorder="1" applyAlignment="1">
      <alignment horizontal="center" vertical="center"/>
    </xf>
    <xf numFmtId="187" fontId="46" fillId="5" borderId="48" xfId="34" applyNumberFormat="1" applyFont="1" applyFill="1" applyBorder="1" applyAlignment="1">
      <alignment horizontal="center" vertical="center"/>
    </xf>
    <xf numFmtId="193" fontId="9" fillId="0" borderId="0" xfId="42" applyNumberFormat="1" applyFont="1" applyAlignment="1">
      <alignment horizontal="center" vertical="center"/>
    </xf>
    <xf numFmtId="197" fontId="43" fillId="0" borderId="0" xfId="42" applyNumberFormat="1" applyFont="1" applyAlignment="1">
      <alignment horizontal="left" vertical="center"/>
    </xf>
    <xf numFmtId="0" fontId="11" fillId="0" borderId="6" xfId="42" applyFont="1" applyBorder="1" applyAlignment="1">
      <alignment horizontal="left" vertical="top" wrapText="1"/>
    </xf>
    <xf numFmtId="197" fontId="11" fillId="0" borderId="24" xfId="42" applyNumberFormat="1" applyFont="1" applyBorder="1" applyAlignment="1">
      <alignment horizontal="left" vertical="center"/>
    </xf>
    <xf numFmtId="0" fontId="9" fillId="0" borderId="50" xfId="42" applyFont="1" applyBorder="1" applyAlignment="1">
      <alignment horizontal="center" vertical="center"/>
    </xf>
    <xf numFmtId="0" fontId="11" fillId="0" borderId="0" xfId="42" applyFont="1" applyBorder="1" applyAlignment="1">
      <alignment vertical="center"/>
    </xf>
    <xf numFmtId="197" fontId="11" fillId="0" borderId="0" xfId="42" applyNumberFormat="1" applyFont="1" applyBorder="1" applyAlignment="1">
      <alignment horizontal="left" vertical="center"/>
    </xf>
    <xf numFmtId="0" fontId="9" fillId="0" borderId="51" xfId="42" applyFont="1" applyBorder="1" applyAlignment="1">
      <alignment horizontal="center" vertical="center"/>
    </xf>
    <xf numFmtId="197" fontId="11" fillId="0" borderId="6" xfId="42" applyNumberFormat="1" applyFont="1" applyBorder="1" applyAlignment="1">
      <alignment horizontal="left" vertical="center"/>
    </xf>
    <xf numFmtId="0" fontId="9" fillId="0" borderId="52" xfId="42" applyFont="1" applyBorder="1" applyAlignment="1">
      <alignment horizontal="center" vertical="center"/>
    </xf>
    <xf numFmtId="0" fontId="9" fillId="5" borderId="53" xfId="42" applyFont="1" applyFill="1" applyBorder="1" applyAlignment="1">
      <alignment horizontal="center" vertical="center"/>
    </xf>
    <xf numFmtId="0" fontId="46" fillId="0" borderId="54" xfId="42" applyFont="1" applyBorder="1" applyAlignment="1">
      <alignment horizontal="left" vertical="center"/>
    </xf>
    <xf numFmtId="0" fontId="17" fillId="0" borderId="55" xfId="42" applyFont="1" applyBorder="1" applyAlignment="1">
      <alignment horizontal="center" vertical="center"/>
    </xf>
    <xf numFmtId="196" fontId="22" fillId="0" borderId="33" xfId="42" applyNumberFormat="1" applyFont="1" applyBorder="1" applyAlignment="1">
      <alignment horizontal="center" vertical="center"/>
    </xf>
    <xf numFmtId="196" fontId="22" fillId="0" borderId="33" xfId="32" applyNumberFormat="1" applyFont="1" applyBorder="1" applyAlignment="1">
      <alignment horizontal="center" vertical="center"/>
    </xf>
    <xf numFmtId="9" fontId="22" fillId="0" borderId="33" xfId="32" applyFont="1" applyBorder="1" applyAlignment="1">
      <alignment horizontal="center" vertical="center"/>
    </xf>
    <xf numFmtId="197" fontId="22" fillId="0" borderId="33" xfId="32" applyNumberFormat="1" applyFont="1" applyBorder="1" applyAlignment="1">
      <alignment horizontal="center" vertical="center"/>
    </xf>
    <xf numFmtId="41" fontId="22" fillId="0" borderId="33" xfId="35" applyFont="1" applyBorder="1" applyAlignment="1">
      <alignment horizontal="center" vertical="center"/>
    </xf>
    <xf numFmtId="0" fontId="11" fillId="0" borderId="56" xfId="42" applyFont="1" applyBorder="1" applyAlignment="1">
      <alignment horizontal="center" vertical="center"/>
    </xf>
    <xf numFmtId="0" fontId="17" fillId="0" borderId="57" xfId="42" applyFont="1" applyBorder="1" applyAlignment="1">
      <alignment horizontal="center" vertical="center"/>
    </xf>
    <xf numFmtId="0" fontId="22" fillId="0" borderId="17" xfId="42" applyFont="1" applyBorder="1" applyAlignment="1">
      <alignment horizontal="center" vertical="center"/>
    </xf>
    <xf numFmtId="196" fontId="22" fillId="0" borderId="16" xfId="34" applyNumberFormat="1" applyFont="1" applyBorder="1" applyAlignment="1">
      <alignment horizontal="center" vertical="center"/>
    </xf>
    <xf numFmtId="196" fontId="22" fillId="0" borderId="16" xfId="32" applyNumberFormat="1" applyFont="1" applyBorder="1" applyAlignment="1">
      <alignment horizontal="center" vertical="center"/>
    </xf>
    <xf numFmtId="9" fontId="22" fillId="0" borderId="16" xfId="32" applyFont="1" applyBorder="1" applyAlignment="1">
      <alignment horizontal="center" vertical="center"/>
    </xf>
    <xf numFmtId="0" fontId="46" fillId="0" borderId="58" xfId="42" applyFont="1" applyBorder="1" applyAlignment="1">
      <alignment horizontal="left" vertical="center"/>
    </xf>
    <xf numFmtId="197" fontId="11" fillId="0" borderId="24" xfId="34" applyNumberFormat="1" applyFont="1" applyBorder="1" applyAlignment="1">
      <alignment vertical="center"/>
    </xf>
    <xf numFmtId="0" fontId="11" fillId="0" borderId="59" xfId="42" applyFont="1" applyBorder="1" applyAlignment="1">
      <alignment vertical="center"/>
    </xf>
    <xf numFmtId="197" fontId="11" fillId="0" borderId="6" xfId="34" applyNumberFormat="1" applyFont="1" applyBorder="1" applyAlignment="1">
      <alignment horizontal="left" vertical="center"/>
    </xf>
    <xf numFmtId="0" fontId="46" fillId="0" borderId="54" xfId="42" applyFont="1" applyBorder="1" applyAlignment="1">
      <alignment vertical="center"/>
    </xf>
    <xf numFmtId="197" fontId="11" fillId="0" borderId="0" xfId="34" applyNumberFormat="1" applyFont="1" applyBorder="1" applyAlignment="1">
      <alignment horizontal="left" vertical="center"/>
    </xf>
    <xf numFmtId="0" fontId="11" fillId="0" borderId="54" xfId="42" applyFont="1" applyBorder="1" applyAlignment="1">
      <alignment vertical="center"/>
    </xf>
    <xf numFmtId="0" fontId="46" fillId="0" borderId="58" xfId="42" applyFont="1" applyBorder="1" applyAlignment="1">
      <alignment vertical="center"/>
    </xf>
    <xf numFmtId="197" fontId="11" fillId="0" borderId="24" xfId="34" applyNumberFormat="1" applyFont="1" applyBorder="1" applyAlignment="1">
      <alignment horizontal="left" vertical="center"/>
    </xf>
    <xf numFmtId="197" fontId="11" fillId="0" borderId="0" xfId="32" applyNumberFormat="1" applyFont="1" applyBorder="1" applyAlignment="1">
      <alignment horizontal="center" vertical="center"/>
    </xf>
    <xf numFmtId="0" fontId="11" fillId="0" borderId="8" xfId="42" applyFont="1" applyBorder="1" applyAlignment="1">
      <alignment horizontal="center" vertical="center"/>
    </xf>
    <xf numFmtId="186" fontId="46" fillId="0" borderId="2" xfId="34" applyNumberFormat="1" applyFont="1" applyBorder="1" applyAlignment="1">
      <alignment horizontal="left" vertical="center"/>
    </xf>
    <xf numFmtId="197" fontId="46" fillId="0" borderId="2" xfId="34" applyNumberFormat="1" applyFont="1" applyBorder="1" applyAlignment="1">
      <alignment horizontal="left" vertical="center"/>
    </xf>
    <xf numFmtId="187" fontId="46" fillId="0" borderId="2" xfId="34" applyNumberFormat="1" applyFont="1" applyBorder="1" applyAlignment="1">
      <alignment horizontal="center" vertical="center"/>
    </xf>
    <xf numFmtId="187" fontId="46" fillId="0" borderId="60" xfId="34" applyNumberFormat="1" applyFont="1" applyBorder="1" applyAlignment="1">
      <alignment horizontal="center" vertical="center"/>
    </xf>
    <xf numFmtId="0" fontId="46" fillId="5" borderId="61" xfId="42" applyFont="1" applyFill="1" applyBorder="1" applyAlignment="1">
      <alignment vertical="center"/>
    </xf>
    <xf numFmtId="0" fontId="11" fillId="5" borderId="62" xfId="42" applyFont="1" applyFill="1" applyBorder="1" applyAlignment="1">
      <alignment horizontal="center" vertical="center"/>
    </xf>
    <xf numFmtId="186" fontId="46" fillId="5" borderId="63" xfId="34" applyNumberFormat="1" applyFont="1" applyFill="1" applyBorder="1" applyAlignment="1">
      <alignment horizontal="left" vertical="center"/>
    </xf>
    <xf numFmtId="187" fontId="46" fillId="5" borderId="64" xfId="34" applyNumberFormat="1" applyFont="1" applyFill="1" applyBorder="1" applyAlignment="1">
      <alignment horizontal="center" vertical="center"/>
    </xf>
    <xf numFmtId="0" fontId="46" fillId="5" borderId="65" xfId="42" applyFont="1" applyFill="1" applyBorder="1" applyAlignment="1">
      <alignment horizontal="center" vertical="center"/>
    </xf>
    <xf numFmtId="197" fontId="9" fillId="0" borderId="0" xfId="42" applyNumberFormat="1" applyFont="1" applyAlignment="1">
      <alignment horizontal="left" vertical="center"/>
    </xf>
    <xf numFmtId="41" fontId="28" fillId="0" borderId="0" xfId="40" applyNumberFormat="1" applyAlignment="1">
      <alignment vertical="center"/>
    </xf>
    <xf numFmtId="0" fontId="28" fillId="0" borderId="0" xfId="40" applyFont="1" applyAlignment="1">
      <alignment vertical="center"/>
    </xf>
    <xf numFmtId="0" fontId="48" fillId="0" borderId="0" xfId="40" applyFont="1" applyAlignment="1">
      <alignment vertical="center"/>
    </xf>
    <xf numFmtId="181" fontId="28" fillId="0" borderId="0" xfId="40" applyNumberFormat="1" applyAlignment="1">
      <alignment vertical="center"/>
    </xf>
    <xf numFmtId="204" fontId="28" fillId="0" borderId="0" xfId="40" applyNumberFormat="1" applyAlignment="1">
      <alignment vertical="center"/>
    </xf>
    <xf numFmtId="0" fontId="28" fillId="0" borderId="0" xfId="40" applyFont="1" applyFill="1" applyBorder="1" applyAlignment="1">
      <alignment vertical="center"/>
    </xf>
    <xf numFmtId="181" fontId="48" fillId="0" borderId="0" xfId="40" applyNumberFormat="1" applyFont="1" applyAlignment="1">
      <alignment vertical="center"/>
    </xf>
    <xf numFmtId="0" fontId="28" fillId="0" borderId="3" xfId="40" applyFont="1" applyBorder="1" applyAlignment="1">
      <alignment horizontal="center" vertical="center"/>
    </xf>
    <xf numFmtId="41" fontId="33" fillId="0" borderId="0" xfId="40" applyNumberFormat="1" applyFont="1" applyAlignment="1">
      <alignment vertical="center"/>
    </xf>
    <xf numFmtId="205" fontId="33" fillId="0" borderId="0" xfId="40" applyNumberFormat="1" applyFont="1" applyAlignment="1">
      <alignment vertical="center"/>
    </xf>
    <xf numFmtId="177" fontId="33" fillId="0" borderId="0" xfId="32" applyNumberFormat="1" applyFont="1" applyAlignment="1">
      <alignment vertical="center"/>
    </xf>
    <xf numFmtId="41" fontId="33" fillId="0" borderId="0" xfId="35" applyNumberFormat="1" applyFont="1" applyAlignment="1">
      <alignment vertical="center"/>
    </xf>
    <xf numFmtId="0" fontId="49" fillId="0" borderId="0" xfId="40" applyFont="1" applyAlignment="1">
      <alignment vertical="center"/>
    </xf>
    <xf numFmtId="41" fontId="37" fillId="0" borderId="0" xfId="43" applyNumberFormat="1" applyFont="1" applyAlignment="1">
      <alignment vertical="center"/>
    </xf>
    <xf numFmtId="0" fontId="50" fillId="0" borderId="3" xfId="0" applyFont="1" applyBorder="1" applyAlignment="1">
      <alignment horizontal="justify" wrapText="1"/>
    </xf>
    <xf numFmtId="0" fontId="50" fillId="0" borderId="3" xfId="0" applyFont="1" applyBorder="1" applyAlignment="1">
      <alignment horizontal="center" wrapText="1"/>
    </xf>
    <xf numFmtId="0" fontId="50" fillId="0" borderId="3" xfId="0" applyFont="1" applyBorder="1" applyAlignment="1">
      <alignment horizontal="right" wrapText="1"/>
    </xf>
    <xf numFmtId="0" fontId="51" fillId="0" borderId="0" xfId="43" applyNumberFormat="1" applyFont="1" applyAlignment="1" applyProtection="1">
      <alignment horizontal="center" vertical="center"/>
      <protection locked="0"/>
    </xf>
    <xf numFmtId="0" fontId="52" fillId="0" borderId="0" xfId="43" applyFont="1" applyAlignment="1">
      <alignment horizontal="left" vertical="center"/>
    </xf>
    <xf numFmtId="0" fontId="9" fillId="0" borderId="0" xfId="43" applyFont="1" applyAlignment="1">
      <alignment horizontal="left" vertical="center"/>
    </xf>
    <xf numFmtId="0" fontId="11" fillId="0" borderId="52" xfId="42" applyFont="1" applyBorder="1" applyAlignment="1">
      <alignment horizontal="left" vertical="top" wrapText="1"/>
    </xf>
    <xf numFmtId="0" fontId="5" fillId="0" borderId="0" xfId="42" applyFont="1" applyAlignment="1">
      <alignment vertical="center"/>
    </xf>
    <xf numFmtId="0" fontId="56" fillId="0" borderId="0" xfId="0" applyFont="1"/>
    <xf numFmtId="0" fontId="55" fillId="0" borderId="0" xfId="0" applyFont="1"/>
    <xf numFmtId="0" fontId="0" fillId="0" borderId="0" xfId="0" applyAlignment="1">
      <alignment wrapText="1"/>
    </xf>
    <xf numFmtId="196" fontId="14" fillId="0" borderId="16" xfId="34" applyNumberFormat="1" applyFont="1" applyBorder="1" applyAlignment="1">
      <alignment horizontal="center" vertical="center"/>
    </xf>
    <xf numFmtId="197" fontId="14" fillId="0" borderId="16" xfId="32" applyNumberFormat="1" applyFont="1" applyBorder="1" applyAlignment="1">
      <alignment horizontal="center" vertical="center"/>
    </xf>
    <xf numFmtId="0" fontId="57" fillId="6" borderId="3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3" fontId="17" fillId="2" borderId="3" xfId="0" applyNumberFormat="1" applyFont="1" applyFill="1" applyBorder="1" applyAlignment="1">
      <alignment horizontal="center" wrapText="1"/>
    </xf>
    <xf numFmtId="41" fontId="11" fillId="0" borderId="0" xfId="32" applyNumberFormat="1" applyFont="1" applyAlignment="1" applyProtection="1">
      <alignment horizontal="center" vertical="center"/>
      <protection hidden="1"/>
    </xf>
    <xf numFmtId="0" fontId="11" fillId="0" borderId="3" xfId="0" applyFont="1" applyBorder="1" applyAlignment="1" applyProtection="1">
      <alignment horizontal="left" vertical="center"/>
      <protection hidden="1"/>
    </xf>
    <xf numFmtId="0" fontId="15" fillId="0" borderId="3" xfId="0" applyFont="1" applyBorder="1" applyAlignment="1" applyProtection="1">
      <alignment horizontal="left" vertical="center"/>
      <protection hidden="1"/>
    </xf>
    <xf numFmtId="0" fontId="12" fillId="0" borderId="3" xfId="0" applyFont="1" applyBorder="1" applyAlignment="1" applyProtection="1">
      <alignment horizontal="center" vertical="center"/>
      <protection hidden="1"/>
    </xf>
    <xf numFmtId="0" fontId="9" fillId="0" borderId="3" xfId="0" applyFont="1" applyBorder="1" applyAlignment="1" applyProtection="1">
      <alignment horizontal="left" vertical="center"/>
      <protection hidden="1"/>
    </xf>
    <xf numFmtId="0" fontId="17" fillId="0" borderId="3" xfId="0" applyFont="1" applyBorder="1" applyAlignment="1" applyProtection="1">
      <alignment horizontal="left" vertical="center"/>
      <protection hidden="1"/>
    </xf>
    <xf numFmtId="0" fontId="11" fillId="0" borderId="0" xfId="0" applyFont="1" applyFill="1" applyAlignment="1" applyProtection="1">
      <alignment horizontal="center" vertical="center"/>
      <protection hidden="1"/>
    </xf>
    <xf numFmtId="0" fontId="28" fillId="0" borderId="0" xfId="41" applyAlignment="1">
      <alignment vertical="center"/>
    </xf>
    <xf numFmtId="0" fontId="0" fillId="0" borderId="0" xfId="0" applyAlignment="1">
      <alignment vertical="center"/>
    </xf>
    <xf numFmtId="0" fontId="56" fillId="0" borderId="0" xfId="41" applyFont="1" applyAlignment="1">
      <alignment vertical="center"/>
    </xf>
    <xf numFmtId="0" fontId="31" fillId="0" borderId="0" xfId="0" applyFont="1" applyAlignment="1">
      <alignment vertical="center"/>
    </xf>
    <xf numFmtId="0" fontId="48" fillId="0" borderId="0" xfId="0" applyFont="1" applyFill="1" applyBorder="1" applyAlignment="1">
      <alignment horizontal="left" vertical="center"/>
    </xf>
    <xf numFmtId="0" fontId="28" fillId="0" borderId="0" xfId="41" applyAlignment="1"/>
    <xf numFmtId="0" fontId="28" fillId="0" borderId="0" xfId="41"/>
    <xf numFmtId="0" fontId="72" fillId="0" borderId="0" xfId="40" applyFont="1" applyAlignment="1">
      <alignment vertical="center"/>
    </xf>
    <xf numFmtId="0" fontId="72" fillId="0" borderId="0" xfId="40" applyFont="1" applyFill="1" applyAlignment="1">
      <alignment vertical="center"/>
    </xf>
    <xf numFmtId="41" fontId="72" fillId="0" borderId="0" xfId="35" applyFont="1" applyAlignment="1">
      <alignment vertical="center"/>
    </xf>
    <xf numFmtId="0" fontId="72" fillId="0" borderId="0" xfId="40" applyFont="1"/>
    <xf numFmtId="0" fontId="73" fillId="0" borderId="0" xfId="40" applyFont="1" applyFill="1" applyAlignment="1">
      <alignment vertical="center"/>
    </xf>
    <xf numFmtId="41" fontId="9" fillId="0" borderId="0" xfId="35" applyFont="1" applyAlignment="1">
      <alignment horizontal="center" vertical="center"/>
    </xf>
    <xf numFmtId="41" fontId="9" fillId="0" borderId="0" xfId="35" applyFont="1" applyAlignment="1" applyProtection="1">
      <alignment horizontal="center" vertical="center"/>
      <protection hidden="1"/>
    </xf>
    <xf numFmtId="41" fontId="11" fillId="0" borderId="0" xfId="35" applyFont="1" applyFill="1" applyAlignment="1" applyProtection="1">
      <alignment horizontal="center" vertical="center"/>
      <protection hidden="1"/>
    </xf>
    <xf numFmtId="10" fontId="11" fillId="0" borderId="0" xfId="32" applyNumberFormat="1" applyFont="1" applyFill="1" applyAlignment="1" applyProtection="1">
      <alignment horizontal="center" vertical="center"/>
      <protection hidden="1"/>
    </xf>
    <xf numFmtId="187" fontId="46" fillId="0" borderId="39" xfId="34" applyNumberFormat="1" applyFont="1" applyBorder="1" applyAlignment="1">
      <alignment horizontal="center" vertical="center"/>
    </xf>
    <xf numFmtId="186" fontId="11" fillId="0" borderId="21" xfId="34" applyNumberFormat="1" applyFont="1" applyBorder="1" applyAlignment="1">
      <alignment horizontal="left" vertical="center"/>
    </xf>
    <xf numFmtId="187" fontId="11" fillId="0" borderId="29" xfId="34" applyNumberFormat="1" applyFont="1" applyBorder="1" applyAlignment="1">
      <alignment horizontal="center" vertical="center"/>
    </xf>
    <xf numFmtId="187" fontId="11" fillId="0" borderId="21" xfId="34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197" fontId="9" fillId="0" borderId="0" xfId="0" applyNumberFormat="1" applyFont="1" applyAlignment="1">
      <alignment horizontal="center" vertical="center"/>
    </xf>
    <xf numFmtId="186" fontId="11" fillId="0" borderId="2" xfId="34" applyNumberFormat="1" applyFont="1" applyBorder="1" applyAlignment="1">
      <alignment horizontal="left" vertical="center"/>
    </xf>
    <xf numFmtId="187" fontId="11" fillId="0" borderId="2" xfId="34" applyNumberFormat="1" applyFont="1" applyBorder="1" applyAlignment="1">
      <alignment horizontal="center" vertical="center"/>
    </xf>
    <xf numFmtId="187" fontId="11" fillId="0" borderId="67" xfId="34" applyNumberFormat="1" applyFont="1" applyBorder="1" applyAlignment="1">
      <alignment horizontal="center" vertical="center"/>
    </xf>
    <xf numFmtId="204" fontId="28" fillId="0" borderId="0" xfId="40" applyNumberFormat="1" applyAlignment="1">
      <alignment horizontal="right" vertical="center"/>
    </xf>
    <xf numFmtId="0" fontId="29" fillId="0" borderId="0" xfId="0" applyFont="1" applyAlignment="1">
      <alignment vertical="center"/>
    </xf>
    <xf numFmtId="0" fontId="29" fillId="0" borderId="0" xfId="40" applyFont="1" applyFill="1" applyBorder="1" applyAlignment="1">
      <alignment horizontal="left" vertical="center"/>
    </xf>
    <xf numFmtId="10" fontId="11" fillId="0" borderId="0" xfId="0" applyNumberFormat="1" applyFont="1" applyFill="1" applyAlignment="1" applyProtection="1">
      <alignment horizontal="center" vertical="center"/>
      <protection hidden="1"/>
    </xf>
    <xf numFmtId="0" fontId="28" fillId="0" borderId="0" xfId="40" applyAlignment="1">
      <alignment horizontal="left" vertical="center"/>
    </xf>
    <xf numFmtId="41" fontId="28" fillId="0" borderId="0" xfId="40" applyNumberFormat="1" applyAlignment="1">
      <alignment horizontal="left" vertical="center"/>
    </xf>
    <xf numFmtId="0" fontId="49" fillId="0" borderId="3" xfId="40" applyFont="1" applyBorder="1" applyAlignment="1">
      <alignment vertical="center"/>
    </xf>
    <xf numFmtId="10" fontId="51" fillId="0" borderId="3" xfId="32" applyNumberFormat="1" applyFont="1" applyBorder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178" fontId="28" fillId="0" borderId="3" xfId="40" applyNumberFormat="1" applyBorder="1" applyAlignment="1">
      <alignment horizontal="center" vertical="center"/>
    </xf>
    <xf numFmtId="3" fontId="80" fillId="0" borderId="3" xfId="0" applyNumberFormat="1" applyFont="1" applyBorder="1" applyAlignment="1">
      <alignment horizontal="center" wrapText="1"/>
    </xf>
    <xf numFmtId="187" fontId="58" fillId="0" borderId="60" xfId="35" applyNumberFormat="1" applyFont="1" applyBorder="1" applyAlignment="1">
      <alignment horizontal="center" vertical="center"/>
    </xf>
    <xf numFmtId="187" fontId="5" fillId="0" borderId="42" xfId="0" applyNumberFormat="1" applyFont="1" applyBorder="1" applyAlignment="1">
      <alignment horizontal="right" vertical="center"/>
    </xf>
    <xf numFmtId="41" fontId="11" fillId="0" borderId="3" xfId="35" applyFont="1" applyBorder="1" applyAlignment="1" applyProtection="1">
      <alignment horizontal="center" vertical="center"/>
      <protection hidden="1"/>
    </xf>
    <xf numFmtId="41" fontId="14" fillId="0" borderId="3" xfId="35" applyFont="1" applyBorder="1" applyAlignment="1" applyProtection="1">
      <alignment horizontal="center" vertical="center"/>
      <protection hidden="1"/>
    </xf>
    <xf numFmtId="41" fontId="9" fillId="0" borderId="0" xfId="35" applyNumberFormat="1" applyFont="1" applyAlignment="1" applyProtection="1">
      <alignment horizontal="center" vertical="center"/>
      <protection hidden="1"/>
    </xf>
    <xf numFmtId="41" fontId="10" fillId="0" borderId="6" xfId="35" applyNumberFormat="1" applyFont="1" applyBorder="1" applyAlignment="1" applyProtection="1">
      <alignment horizontal="center" vertical="center"/>
      <protection hidden="1"/>
    </xf>
    <xf numFmtId="41" fontId="11" fillId="3" borderId="3" xfId="35" applyNumberFormat="1" applyFont="1" applyFill="1" applyBorder="1" applyAlignment="1" applyProtection="1">
      <alignment horizontal="center" vertical="center"/>
      <protection hidden="1"/>
    </xf>
    <xf numFmtId="41" fontId="14" fillId="0" borderId="14" xfId="35" applyNumberFormat="1" applyFont="1" applyBorder="1" applyAlignment="1" applyProtection="1">
      <alignment horizontal="center" vertical="center"/>
      <protection hidden="1"/>
    </xf>
    <xf numFmtId="41" fontId="14" fillId="0" borderId="9" xfId="35" applyNumberFormat="1" applyFont="1" applyBorder="1" applyAlignment="1" applyProtection="1">
      <alignment horizontal="center" vertical="center"/>
      <protection hidden="1"/>
    </xf>
    <xf numFmtId="41" fontId="17" fillId="0" borderId="9" xfId="35" applyNumberFormat="1" applyFont="1" applyBorder="1" applyAlignment="1" applyProtection="1">
      <alignment horizontal="center" vertical="center"/>
      <protection hidden="1"/>
    </xf>
    <xf numFmtId="41" fontId="21" fillId="0" borderId="13" xfId="35" applyNumberFormat="1" applyFont="1" applyBorder="1" applyAlignment="1" applyProtection="1">
      <alignment horizontal="center" vertical="center"/>
      <protection hidden="1"/>
    </xf>
    <xf numFmtId="41" fontId="17" fillId="0" borderId="13" xfId="35" applyNumberFormat="1" applyFont="1" applyBorder="1" applyAlignment="1" applyProtection="1">
      <alignment horizontal="center" vertical="center"/>
      <protection hidden="1"/>
    </xf>
    <xf numFmtId="41" fontId="17" fillId="0" borderId="14" xfId="35" applyNumberFormat="1" applyFont="1" applyBorder="1" applyAlignment="1" applyProtection="1">
      <alignment horizontal="center" vertical="center"/>
      <protection hidden="1"/>
    </xf>
    <xf numFmtId="41" fontId="21" fillId="0" borderId="10" xfId="35" applyNumberFormat="1" applyFont="1" applyBorder="1" applyAlignment="1" applyProtection="1">
      <alignment horizontal="center" vertical="center"/>
      <protection hidden="1"/>
    </xf>
    <xf numFmtId="41" fontId="14" fillId="0" borderId="3" xfId="35" applyNumberFormat="1" applyFont="1" applyBorder="1" applyAlignment="1" applyProtection="1">
      <alignment horizontal="left" vertical="center"/>
      <protection hidden="1"/>
    </xf>
    <xf numFmtId="41" fontId="17" fillId="0" borderId="3" xfId="35" applyNumberFormat="1" applyFont="1" applyBorder="1" applyAlignment="1" applyProtection="1">
      <alignment horizontal="left" vertical="center"/>
      <protection hidden="1"/>
    </xf>
    <xf numFmtId="41" fontId="21" fillId="0" borderId="3" xfId="35" applyNumberFormat="1" applyFont="1" applyBorder="1" applyAlignment="1" applyProtection="1">
      <alignment horizontal="center" vertical="center"/>
      <protection hidden="1"/>
    </xf>
    <xf numFmtId="41" fontId="11" fillId="0" borderId="0" xfId="35" applyNumberFormat="1" applyFont="1" applyAlignment="1" applyProtection="1">
      <alignment horizontal="center" vertical="center"/>
      <protection hidden="1"/>
    </xf>
    <xf numFmtId="41" fontId="17" fillId="0" borderId="3" xfId="35" applyNumberFormat="1" applyFont="1" applyBorder="1" applyAlignment="1" applyProtection="1">
      <alignment horizontal="center" vertical="center"/>
      <protection hidden="1"/>
    </xf>
    <xf numFmtId="41" fontId="11" fillId="0" borderId="6" xfId="35" applyNumberFormat="1" applyFont="1" applyBorder="1" applyAlignment="1" applyProtection="1">
      <alignment horizontal="right"/>
      <protection hidden="1"/>
    </xf>
    <xf numFmtId="41" fontId="17" fillId="0" borderId="68" xfId="35" applyNumberFormat="1" applyFont="1" applyBorder="1" applyAlignment="1" applyProtection="1">
      <alignment horizontal="center" vertical="center"/>
      <protection hidden="1"/>
    </xf>
    <xf numFmtId="41" fontId="17" fillId="0" borderId="68" xfId="35" applyNumberFormat="1" applyFont="1" applyBorder="1" applyAlignment="1" applyProtection="1">
      <alignment horizontal="left" vertical="center"/>
      <protection hidden="1"/>
    </xf>
    <xf numFmtId="41" fontId="22" fillId="0" borderId="3" xfId="35" applyNumberFormat="1" applyFont="1" applyBorder="1" applyAlignment="1" applyProtection="1">
      <alignment horizontal="left" vertical="center"/>
      <protection hidden="1"/>
    </xf>
    <xf numFmtId="9" fontId="11" fillId="0" borderId="3" xfId="32" applyNumberFormat="1" applyFont="1" applyBorder="1" applyAlignment="1" applyProtection="1">
      <alignment horizontal="right" vertical="center"/>
      <protection hidden="1"/>
    </xf>
    <xf numFmtId="188" fontId="11" fillId="0" borderId="0" xfId="32" applyNumberFormat="1" applyFont="1" applyAlignment="1" applyProtection="1">
      <alignment horizontal="center" vertical="center"/>
      <protection hidden="1"/>
    </xf>
    <xf numFmtId="10" fontId="11" fillId="0" borderId="0" xfId="35" applyNumberFormat="1" applyFont="1" applyAlignment="1" applyProtection="1">
      <alignment horizontal="center" vertical="center"/>
      <protection hidden="1"/>
    </xf>
    <xf numFmtId="0" fontId="81" fillId="0" borderId="3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177" fontId="6" fillId="0" borderId="3" xfId="0" applyNumberFormat="1" applyFont="1" applyBorder="1" applyAlignment="1" applyProtection="1">
      <alignment horizontal="center" vertical="center"/>
      <protection hidden="1"/>
    </xf>
    <xf numFmtId="178" fontId="6" fillId="0" borderId="3" xfId="35" applyNumberFormat="1" applyFont="1" applyBorder="1" applyAlignment="1" applyProtection="1">
      <alignment horizontal="center" vertical="center"/>
      <protection hidden="1"/>
    </xf>
    <xf numFmtId="178" fontId="5" fillId="0" borderId="3" xfId="35" applyNumberFormat="1" applyFont="1" applyBorder="1" applyAlignment="1" applyProtection="1">
      <alignment horizontal="center" vertical="center"/>
      <protection hidden="1"/>
    </xf>
    <xf numFmtId="178" fontId="5" fillId="0" borderId="3" xfId="0" applyNumberFormat="1" applyFont="1" applyBorder="1" applyAlignment="1" applyProtection="1">
      <alignment horizontal="center" vertical="center"/>
      <protection hidden="1"/>
    </xf>
    <xf numFmtId="2" fontId="6" fillId="0" borderId="0" xfId="0" applyNumberFormat="1" applyFont="1" applyBorder="1" applyAlignment="1" applyProtection="1">
      <alignment horizontal="center" vertical="center"/>
      <protection hidden="1"/>
    </xf>
    <xf numFmtId="182" fontId="23" fillId="0" borderId="0" xfId="0" applyNumberFormat="1" applyFont="1" applyBorder="1" applyAlignment="1" applyProtection="1">
      <alignment horizontal="center" vertical="center"/>
      <protection hidden="1"/>
    </xf>
    <xf numFmtId="0" fontId="5" fillId="0" borderId="76" xfId="0" applyFont="1" applyBorder="1" applyAlignment="1" applyProtection="1">
      <alignment horizontal="center" vertical="center"/>
      <protection hidden="1"/>
    </xf>
    <xf numFmtId="0" fontId="5" fillId="0" borderId="77" xfId="0" applyFont="1" applyBorder="1" applyAlignment="1" applyProtection="1">
      <alignment horizontal="center" vertical="center"/>
      <protection hidden="1"/>
    </xf>
    <xf numFmtId="0" fontId="5" fillId="0" borderId="78" xfId="0" applyFont="1" applyBorder="1" applyAlignment="1" applyProtection="1">
      <alignment horizontal="center" vertical="center"/>
      <protection hidden="1"/>
    </xf>
    <xf numFmtId="0" fontId="5" fillId="0" borderId="28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left"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23" xfId="0" applyFont="1" applyBorder="1" applyAlignment="1" applyProtection="1">
      <alignment horizontal="center" vertical="center"/>
      <protection hidden="1"/>
    </xf>
    <xf numFmtId="0" fontId="27" fillId="0" borderId="0" xfId="0" applyFont="1" applyBorder="1" applyAlignment="1" applyProtection="1">
      <alignment horizontal="center" vertical="center"/>
      <protection hidden="1"/>
    </xf>
    <xf numFmtId="0" fontId="27" fillId="0" borderId="23" xfId="0" applyFont="1" applyBorder="1" applyAlignment="1" applyProtection="1">
      <alignment horizontal="center" vertical="center"/>
      <protection hidden="1"/>
    </xf>
    <xf numFmtId="192" fontId="5" fillId="0" borderId="28" xfId="0" applyNumberFormat="1" applyFont="1" applyBorder="1" applyAlignment="1" applyProtection="1">
      <alignment horizontal="center" vertical="center"/>
      <protection hidden="1"/>
    </xf>
    <xf numFmtId="0" fontId="6" fillId="0" borderId="23" xfId="0" applyFont="1" applyBorder="1" applyAlignment="1" applyProtection="1">
      <alignment horizontal="center" vertical="center"/>
      <protection hidden="1"/>
    </xf>
    <xf numFmtId="2" fontId="6" fillId="0" borderId="23" xfId="0" applyNumberFormat="1" applyFont="1" applyBorder="1" applyAlignment="1" applyProtection="1">
      <alignment horizontal="center" vertical="center"/>
      <protection hidden="1"/>
    </xf>
    <xf numFmtId="0" fontId="6" fillId="0" borderId="28" xfId="0" applyFont="1" applyBorder="1" applyAlignment="1" applyProtection="1">
      <alignment horizontal="center" vertical="center"/>
      <protection hidden="1"/>
    </xf>
    <xf numFmtId="182" fontId="23" fillId="0" borderId="23" xfId="0" applyNumberFormat="1" applyFont="1" applyBorder="1" applyAlignment="1" applyProtection="1">
      <alignment horizontal="center" vertical="center"/>
      <protection hidden="1"/>
    </xf>
    <xf numFmtId="0" fontId="6" fillId="0" borderId="79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80" xfId="0" applyFont="1" applyBorder="1" applyAlignment="1" applyProtection="1">
      <alignment horizontal="center" vertical="center"/>
      <protection hidden="1"/>
    </xf>
    <xf numFmtId="189" fontId="5" fillId="0" borderId="0" xfId="35" applyNumberFormat="1" applyFont="1" applyBorder="1" applyAlignment="1" applyProtection="1">
      <alignment horizontal="center" vertical="center"/>
      <protection hidden="1"/>
    </xf>
    <xf numFmtId="41" fontId="10" fillId="0" borderId="6" xfId="35" applyFont="1" applyBorder="1" applyAlignment="1" applyProtection="1">
      <alignment horizontal="center" vertical="center"/>
      <protection hidden="1"/>
    </xf>
    <xf numFmtId="41" fontId="11" fillId="3" borderId="3" xfId="35" applyFont="1" applyFill="1" applyBorder="1" applyAlignment="1" applyProtection="1">
      <alignment horizontal="center" vertical="center"/>
      <protection hidden="1"/>
    </xf>
    <xf numFmtId="43" fontId="11" fillId="0" borderId="0" xfId="0" applyNumberFormat="1" applyFont="1" applyAlignment="1" applyProtection="1">
      <alignment horizontal="center" vertical="center"/>
      <protection hidden="1"/>
    </xf>
    <xf numFmtId="186" fontId="11" fillId="0" borderId="0" xfId="34" quotePrefix="1" applyNumberFormat="1" applyFont="1" applyBorder="1" applyAlignment="1">
      <alignment horizontal="left" vertical="center"/>
    </xf>
    <xf numFmtId="183" fontId="5" fillId="0" borderId="3" xfId="35" applyNumberFormat="1" applyFont="1" applyBorder="1" applyAlignment="1" applyProtection="1">
      <alignment horizontal="right" vertical="center"/>
      <protection hidden="1"/>
    </xf>
    <xf numFmtId="177" fontId="6" fillId="0" borderId="3" xfId="32" applyNumberFormat="1" applyFont="1" applyBorder="1" applyAlignment="1" applyProtection="1">
      <alignment horizontal="center" vertical="center"/>
      <protection hidden="1"/>
    </xf>
    <xf numFmtId="176" fontId="11" fillId="0" borderId="0" xfId="35" applyNumberFormat="1" applyFont="1" applyAlignment="1" applyProtection="1">
      <alignment horizontal="center" vertical="center"/>
      <protection hidden="1"/>
    </xf>
    <xf numFmtId="0" fontId="11" fillId="7" borderId="0" xfId="0" applyFont="1" applyFill="1" applyAlignment="1" applyProtection="1">
      <alignment horizontal="center" vertical="center"/>
      <protection hidden="1"/>
    </xf>
    <xf numFmtId="41" fontId="11" fillId="8" borderId="3" xfId="35" applyFont="1" applyFill="1" applyBorder="1" applyAlignment="1" applyProtection="1">
      <alignment horizontal="center" vertical="center"/>
      <protection hidden="1"/>
    </xf>
    <xf numFmtId="10" fontId="11" fillId="8" borderId="3" xfId="32" applyNumberFormat="1" applyFont="1" applyFill="1" applyBorder="1" applyAlignment="1" applyProtection="1">
      <alignment horizontal="right" vertical="center"/>
      <protection hidden="1"/>
    </xf>
    <xf numFmtId="41" fontId="11" fillId="8" borderId="3" xfId="35" applyNumberFormat="1" applyFont="1" applyFill="1" applyBorder="1" applyAlignment="1" applyProtection="1">
      <alignment horizontal="center" vertical="center"/>
      <protection hidden="1"/>
    </xf>
    <xf numFmtId="0" fontId="9" fillId="0" borderId="0" xfId="44" applyFont="1" applyAlignment="1">
      <alignment horizontal="center" vertical="center"/>
    </xf>
    <xf numFmtId="0" fontId="9" fillId="0" borderId="3" xfId="44" applyFont="1" applyBorder="1" applyAlignment="1">
      <alignment horizontal="center" vertical="center"/>
    </xf>
    <xf numFmtId="0" fontId="9" fillId="0" borderId="0" xfId="44" applyFont="1" applyAlignment="1">
      <alignment vertical="center"/>
    </xf>
    <xf numFmtId="0" fontId="9" fillId="0" borderId="0" xfId="44" applyFont="1" applyAlignment="1">
      <alignment horizontal="left" vertical="center"/>
    </xf>
    <xf numFmtId="0" fontId="43" fillId="0" borderId="0" xfId="44" applyFont="1" applyAlignment="1">
      <alignment horizontal="left" vertical="center"/>
    </xf>
    <xf numFmtId="0" fontId="11" fillId="0" borderId="66" xfId="44" applyFont="1" applyBorder="1" applyAlignment="1">
      <alignment horizontal="left" vertical="center"/>
    </xf>
    <xf numFmtId="0" fontId="9" fillId="0" borderId="6" xfId="44" applyFont="1" applyBorder="1" applyAlignment="1">
      <alignment horizontal="left" vertical="center"/>
    </xf>
    <xf numFmtId="0" fontId="9" fillId="0" borderId="6" xfId="44" applyFont="1" applyBorder="1" applyAlignment="1">
      <alignment horizontal="center" vertical="center"/>
    </xf>
    <xf numFmtId="0" fontId="9" fillId="0" borderId="25" xfId="44" applyFont="1" applyBorder="1" applyAlignment="1">
      <alignment horizontal="center" vertical="center"/>
    </xf>
    <xf numFmtId="0" fontId="43" fillId="0" borderId="0" xfId="44" applyFont="1" applyAlignment="1">
      <alignment horizontal="center" vertical="center"/>
    </xf>
    <xf numFmtId="0" fontId="11" fillId="0" borderId="0" xfId="44" applyFont="1" applyBorder="1" applyAlignment="1">
      <alignment horizontal="left" vertical="center"/>
    </xf>
    <xf numFmtId="0" fontId="9" fillId="0" borderId="23" xfId="44" applyFont="1" applyBorder="1" applyAlignment="1">
      <alignment horizontal="center" vertical="center"/>
    </xf>
    <xf numFmtId="0" fontId="11" fillId="0" borderId="6" xfId="44" applyFont="1" applyBorder="1" applyAlignment="1">
      <alignment horizontal="left" vertical="center"/>
    </xf>
    <xf numFmtId="0" fontId="9" fillId="5" borderId="26" xfId="44" applyFont="1" applyFill="1" applyBorder="1" applyAlignment="1">
      <alignment horizontal="center" vertical="center"/>
    </xf>
    <xf numFmtId="0" fontId="9" fillId="5" borderId="27" xfId="44" applyFont="1" applyFill="1" applyBorder="1" applyAlignment="1">
      <alignment horizontal="center" vertical="center"/>
    </xf>
    <xf numFmtId="0" fontId="46" fillId="0" borderId="28" xfId="44" applyFont="1" applyBorder="1" applyAlignment="1">
      <alignment horizontal="left" vertical="center"/>
    </xf>
    <xf numFmtId="0" fontId="11" fillId="0" borderId="29" xfId="44" applyFont="1" applyBorder="1" applyAlignment="1">
      <alignment horizontal="left" vertical="center"/>
    </xf>
    <xf numFmtId="0" fontId="11" fillId="0" borderId="30" xfId="44" applyFont="1" applyBorder="1" applyAlignment="1">
      <alignment horizontal="left" vertical="center"/>
    </xf>
    <xf numFmtId="0" fontId="11" fillId="0" borderId="0" xfId="44" applyFont="1" applyBorder="1" applyAlignment="1">
      <alignment horizontal="center" vertical="center"/>
    </xf>
    <xf numFmtId="0" fontId="9" fillId="0" borderId="69" xfId="44" applyFont="1" applyBorder="1" applyAlignment="1">
      <alignment horizontal="center" vertical="center"/>
    </xf>
    <xf numFmtId="0" fontId="9" fillId="0" borderId="70" xfId="44" applyFont="1" applyBorder="1" applyAlignment="1">
      <alignment horizontal="center" vertical="center"/>
    </xf>
    <xf numFmtId="0" fontId="9" fillId="0" borderId="71" xfId="44" applyFont="1" applyBorder="1" applyAlignment="1">
      <alignment horizontal="center" vertical="center"/>
    </xf>
    <xf numFmtId="0" fontId="9" fillId="0" borderId="8" xfId="44" applyFont="1" applyBorder="1" applyAlignment="1">
      <alignment horizontal="center" vertical="center"/>
    </xf>
    <xf numFmtId="0" fontId="17" fillId="0" borderId="31" xfId="44" applyFont="1" applyBorder="1" applyAlignment="1">
      <alignment horizontal="center" vertical="center"/>
    </xf>
    <xf numFmtId="195" fontId="75" fillId="0" borderId="33" xfId="44" applyNumberFormat="1" applyFont="1" applyBorder="1" applyAlignment="1">
      <alignment horizontal="center" vertical="center"/>
    </xf>
    <xf numFmtId="0" fontId="9" fillId="0" borderId="72" xfId="44" applyFont="1" applyBorder="1" applyAlignment="1">
      <alignment horizontal="center" vertical="center"/>
    </xf>
    <xf numFmtId="0" fontId="9" fillId="0" borderId="73" xfId="44" applyFont="1" applyBorder="1" applyAlignment="1">
      <alignment horizontal="center" vertical="center"/>
    </xf>
    <xf numFmtId="0" fontId="22" fillId="0" borderId="31" xfId="44" applyFont="1" applyBorder="1" applyAlignment="1">
      <alignment horizontal="center" vertical="center"/>
    </xf>
    <xf numFmtId="195" fontId="47" fillId="0" borderId="33" xfId="44" applyNumberFormat="1" applyFont="1" applyBorder="1" applyAlignment="1">
      <alignment horizontal="center" vertical="center"/>
    </xf>
    <xf numFmtId="0" fontId="9" fillId="0" borderId="74" xfId="44" applyFont="1" applyBorder="1" applyAlignment="1">
      <alignment horizontal="center" vertical="center"/>
    </xf>
    <xf numFmtId="0" fontId="9" fillId="0" borderId="75" xfId="44" applyFont="1" applyBorder="1" applyAlignment="1">
      <alignment horizontal="center" vertical="center"/>
    </xf>
    <xf numFmtId="0" fontId="9" fillId="0" borderId="49" xfId="44" applyFont="1" applyBorder="1" applyAlignment="1">
      <alignment horizontal="center" vertical="center"/>
    </xf>
    <xf numFmtId="0" fontId="17" fillId="0" borderId="36" xfId="44" applyFont="1" applyBorder="1" applyAlignment="1">
      <alignment horizontal="center" vertical="center"/>
    </xf>
    <xf numFmtId="0" fontId="47" fillId="0" borderId="17" xfId="44" applyFont="1" applyBorder="1" applyAlignment="1">
      <alignment horizontal="center" vertical="center"/>
    </xf>
    <xf numFmtId="0" fontId="46" fillId="0" borderId="38" xfId="44" applyFont="1" applyBorder="1" applyAlignment="1">
      <alignment horizontal="left" vertical="center"/>
    </xf>
    <xf numFmtId="0" fontId="11" fillId="0" borderId="39" xfId="44" applyFont="1" applyBorder="1" applyAlignment="1">
      <alignment horizontal="left" vertical="center"/>
    </xf>
    <xf numFmtId="0" fontId="11" fillId="0" borderId="41" xfId="44" applyFont="1" applyBorder="1" applyAlignment="1">
      <alignment vertical="center"/>
    </xf>
    <xf numFmtId="0" fontId="46" fillId="0" borderId="28" xfId="44" applyFont="1" applyBorder="1" applyAlignment="1">
      <alignment vertical="center"/>
    </xf>
    <xf numFmtId="0" fontId="11" fillId="0" borderId="28" xfId="44" applyFont="1" applyBorder="1" applyAlignment="1">
      <alignment vertical="center"/>
    </xf>
    <xf numFmtId="0" fontId="11" fillId="0" borderId="24" xfId="44" applyFont="1" applyBorder="1" applyAlignment="1">
      <alignment horizontal="center" vertical="center"/>
    </xf>
    <xf numFmtId="0" fontId="11" fillId="0" borderId="6" xfId="44" applyFont="1" applyBorder="1" applyAlignment="1">
      <alignment horizontal="center" vertical="center"/>
    </xf>
    <xf numFmtId="0" fontId="9" fillId="0" borderId="3" xfId="44" applyFont="1" applyBorder="1" applyAlignment="1">
      <alignment horizontal="left" vertical="center"/>
    </xf>
    <xf numFmtId="0" fontId="11" fillId="0" borderId="8" xfId="44" applyFont="1" applyBorder="1" applyAlignment="1">
      <alignment horizontal="center" vertical="center"/>
    </xf>
    <xf numFmtId="0" fontId="46" fillId="5" borderId="45" xfId="44" applyFont="1" applyFill="1" applyBorder="1" applyAlignment="1">
      <alignment vertical="center"/>
    </xf>
    <xf numFmtId="0" fontId="11" fillId="5" borderId="46" xfId="44" applyFont="1" applyFill="1" applyBorder="1" applyAlignment="1">
      <alignment horizontal="center" vertical="center"/>
    </xf>
    <xf numFmtId="0" fontId="46" fillId="5" borderId="49" xfId="44" applyFont="1" applyFill="1" applyBorder="1" applyAlignment="1">
      <alignment horizontal="center" vertical="center"/>
    </xf>
    <xf numFmtId="0" fontId="28" fillId="0" borderId="0" xfId="45" applyFont="1">
      <alignment vertical="center"/>
    </xf>
    <xf numFmtId="0" fontId="31" fillId="0" borderId="0" xfId="45" applyFont="1" applyBorder="1">
      <alignment vertical="center"/>
    </xf>
    <xf numFmtId="0" fontId="28" fillId="0" borderId="0" xfId="45" applyFont="1" applyAlignment="1">
      <alignment horizontal="center" vertical="center"/>
    </xf>
    <xf numFmtId="0" fontId="28" fillId="9" borderId="75" xfId="45" applyFont="1" applyFill="1" applyBorder="1" applyAlignment="1">
      <alignment horizontal="center" vertical="center"/>
    </xf>
    <xf numFmtId="0" fontId="28" fillId="0" borderId="13" xfId="45" applyFont="1" applyBorder="1" applyAlignment="1">
      <alignment horizontal="center" vertical="center"/>
    </xf>
    <xf numFmtId="0" fontId="28" fillId="0" borderId="3" xfId="45" applyFont="1" applyBorder="1" applyAlignment="1">
      <alignment horizontal="center" vertical="center"/>
    </xf>
    <xf numFmtId="0" fontId="28" fillId="0" borderId="3" xfId="45" applyFont="1" applyFill="1" applyBorder="1" applyAlignment="1">
      <alignment horizontal="center" vertical="center"/>
    </xf>
    <xf numFmtId="0" fontId="28" fillId="0" borderId="75" xfId="45" applyFont="1" applyBorder="1" applyAlignment="1">
      <alignment horizontal="center" vertical="center"/>
    </xf>
    <xf numFmtId="41" fontId="28" fillId="0" borderId="0" xfId="46" applyFont="1">
      <alignment vertical="center"/>
    </xf>
    <xf numFmtId="0" fontId="83" fillId="0" borderId="0" xfId="45" applyFont="1" applyAlignment="1">
      <alignment horizontal="center" vertical="center"/>
    </xf>
    <xf numFmtId="0" fontId="11" fillId="0" borderId="29" xfId="44" applyFont="1" applyBorder="1" applyAlignment="1">
      <alignment horizontal="center" vertical="center"/>
    </xf>
    <xf numFmtId="0" fontId="11" fillId="0" borderId="42" xfId="44" applyFont="1" applyBorder="1" applyAlignment="1">
      <alignment horizontal="center" vertical="center"/>
    </xf>
    <xf numFmtId="0" fontId="76" fillId="0" borderId="69" xfId="0" applyFont="1" applyBorder="1" applyAlignment="1">
      <alignment horizontal="center" wrapText="1"/>
    </xf>
    <xf numFmtId="0" fontId="76" fillId="0" borderId="71" xfId="0" applyFont="1" applyBorder="1" applyAlignment="1">
      <alignment horizontal="center" wrapText="1"/>
    </xf>
    <xf numFmtId="0" fontId="46" fillId="0" borderId="38" xfId="44" applyFont="1" applyBorder="1" applyAlignment="1">
      <alignment vertical="center"/>
    </xf>
    <xf numFmtId="0" fontId="77" fillId="0" borderId="72" xfId="0" applyFont="1" applyBorder="1" applyAlignment="1">
      <alignment horizontal="center" wrapText="1"/>
    </xf>
    <xf numFmtId="41" fontId="78" fillId="0" borderId="73" xfId="35" applyFont="1" applyBorder="1" applyAlignment="1">
      <alignment horizontal="right" wrapText="1"/>
    </xf>
    <xf numFmtId="0" fontId="76" fillId="0" borderId="72" xfId="0" applyFont="1" applyBorder="1" applyAlignment="1">
      <alignment horizontal="center" wrapText="1"/>
    </xf>
    <xf numFmtId="41" fontId="79" fillId="0" borderId="73" xfId="35" applyFont="1" applyBorder="1" applyAlignment="1">
      <alignment horizontal="right" wrapText="1"/>
    </xf>
    <xf numFmtId="0" fontId="76" fillId="0" borderId="74" xfId="0" applyFont="1" applyBorder="1" applyAlignment="1">
      <alignment horizontal="center" wrapText="1"/>
    </xf>
    <xf numFmtId="41" fontId="79" fillId="0" borderId="49" xfId="35" applyFont="1" applyBorder="1" applyAlignment="1">
      <alignment horizontal="right" wrapText="1"/>
    </xf>
    <xf numFmtId="0" fontId="46" fillId="0" borderId="115" xfId="44" applyFont="1" applyBorder="1" applyAlignment="1">
      <alignment vertical="center"/>
    </xf>
    <xf numFmtId="0" fontId="11" fillId="0" borderId="73" xfId="44" applyFont="1" applyBorder="1" applyAlignment="1">
      <alignment horizontal="center" vertical="center"/>
    </xf>
    <xf numFmtId="0" fontId="5" fillId="0" borderId="79" xfId="44" applyFont="1" applyBorder="1" applyAlignment="1">
      <alignment vertical="center"/>
    </xf>
    <xf numFmtId="0" fontId="9" fillId="0" borderId="4" xfId="44" applyFont="1" applyBorder="1" applyAlignment="1">
      <alignment vertical="center"/>
    </xf>
    <xf numFmtId="0" fontId="9" fillId="0" borderId="4" xfId="44" applyFont="1" applyBorder="1" applyAlignment="1">
      <alignment horizontal="left" vertical="center"/>
    </xf>
    <xf numFmtId="0" fontId="9" fillId="0" borderId="4" xfId="44" applyFont="1" applyBorder="1" applyAlignment="1">
      <alignment horizontal="center" vertical="center"/>
    </xf>
    <xf numFmtId="0" fontId="9" fillId="0" borderId="80" xfId="44" applyFont="1" applyBorder="1" applyAlignment="1">
      <alignment horizontal="center" vertical="center"/>
    </xf>
    <xf numFmtId="41" fontId="7" fillId="0" borderId="0" xfId="35" applyFont="1" applyBorder="1" applyAlignment="1" applyProtection="1">
      <alignment vertical="center"/>
      <protection hidden="1"/>
    </xf>
    <xf numFmtId="41" fontId="7" fillId="0" borderId="29" xfId="35" applyFont="1" applyBorder="1" applyAlignment="1" applyProtection="1">
      <alignment vertical="center"/>
      <protection hidden="1"/>
    </xf>
    <xf numFmtId="41" fontId="11" fillId="0" borderId="3" xfId="35" applyNumberFormat="1" applyFont="1" applyFill="1" applyBorder="1" applyAlignment="1" applyProtection="1">
      <alignment horizontal="center" vertical="center"/>
      <protection hidden="1"/>
    </xf>
    <xf numFmtId="10" fontId="11" fillId="0" borderId="3" xfId="32" applyNumberFormat="1" applyFont="1" applyFill="1" applyBorder="1" applyAlignment="1" applyProtection="1">
      <alignment horizontal="right" vertical="center"/>
      <protection hidden="1"/>
    </xf>
    <xf numFmtId="41" fontId="11" fillId="0" borderId="0" xfId="35" applyFont="1" applyBorder="1" applyAlignment="1" applyProtection="1">
      <alignment horizontal="left" vertical="center"/>
      <protection hidden="1"/>
    </xf>
    <xf numFmtId="0" fontId="11" fillId="0" borderId="3" xfId="0" applyFont="1" applyFill="1" applyBorder="1" applyAlignment="1" applyProtection="1">
      <alignment horizontal="center" vertical="center"/>
      <protection hidden="1"/>
    </xf>
    <xf numFmtId="41" fontId="17" fillId="0" borderId="3" xfId="35" applyFont="1" applyFill="1" applyBorder="1" applyAlignment="1" applyProtection="1">
      <alignment horizontal="center" vertical="center"/>
      <protection hidden="1"/>
    </xf>
    <xf numFmtId="41" fontId="85" fillId="0" borderId="3" xfId="35" applyFont="1" applyBorder="1" applyAlignment="1" applyProtection="1">
      <alignment horizontal="center" vertical="center"/>
      <protection hidden="1"/>
    </xf>
    <xf numFmtId="213" fontId="6" fillId="0" borderId="0" xfId="32" applyNumberFormat="1" applyFont="1" applyAlignment="1" applyProtection="1">
      <alignment horizontal="left" vertical="center"/>
      <protection hidden="1"/>
    </xf>
    <xf numFmtId="190" fontId="6" fillId="0" borderId="3" xfId="32" applyNumberFormat="1" applyFont="1" applyBorder="1" applyAlignment="1" applyProtection="1">
      <alignment horizontal="center" vertical="center"/>
      <protection hidden="1"/>
    </xf>
    <xf numFmtId="0" fontId="83" fillId="0" borderId="0" xfId="45" applyFont="1" applyAlignment="1">
      <alignment horizontal="center" vertical="center"/>
    </xf>
    <xf numFmtId="0" fontId="28" fillId="9" borderId="49" xfId="45" applyFont="1" applyFill="1" applyBorder="1" applyAlignment="1">
      <alignment horizontal="center" vertical="center"/>
    </xf>
    <xf numFmtId="0" fontId="83" fillId="0" borderId="0" xfId="45" applyFont="1" applyAlignment="1">
      <alignment horizontal="center" vertical="center"/>
    </xf>
    <xf numFmtId="0" fontId="28" fillId="0" borderId="66" xfId="45" applyFont="1" applyBorder="1" applyAlignment="1">
      <alignment horizontal="left" vertical="center"/>
    </xf>
    <xf numFmtId="0" fontId="28" fillId="0" borderId="20" xfId="45" applyFont="1" applyBorder="1" applyAlignment="1">
      <alignment horizontal="left" vertical="center"/>
    </xf>
    <xf numFmtId="0" fontId="28" fillId="0" borderId="109" xfId="45" applyFont="1" applyBorder="1" applyAlignment="1">
      <alignment horizontal="left" vertical="center" wrapText="1"/>
    </xf>
    <xf numFmtId="0" fontId="28" fillId="0" borderId="121" xfId="45" applyFont="1" applyBorder="1" applyAlignment="1">
      <alignment horizontal="center" vertical="center"/>
    </xf>
    <xf numFmtId="0" fontId="28" fillId="0" borderId="72" xfId="45" applyFont="1" applyBorder="1" applyAlignment="1">
      <alignment horizontal="center" vertical="center"/>
    </xf>
    <xf numFmtId="0" fontId="28" fillId="0" borderId="74" xfId="45" applyFont="1" applyBorder="1" applyAlignment="1">
      <alignment horizontal="center" vertical="center"/>
    </xf>
    <xf numFmtId="0" fontId="34" fillId="0" borderId="0" xfId="45" applyFont="1" applyAlignment="1">
      <alignment horizontal="left" vertical="center"/>
    </xf>
    <xf numFmtId="0" fontId="28" fillId="9" borderId="46" xfId="45" applyFont="1" applyFill="1" applyBorder="1" applyAlignment="1">
      <alignment horizontal="center" vertical="center"/>
    </xf>
    <xf numFmtId="0" fontId="11" fillId="0" borderId="3" xfId="0" applyFont="1" applyBorder="1" applyAlignment="1" applyProtection="1">
      <alignment horizontal="center" vertical="center"/>
      <protection hidden="1"/>
    </xf>
    <xf numFmtId="0" fontId="11" fillId="3" borderId="3" xfId="0" applyFont="1" applyFill="1" applyBorder="1" applyAlignment="1" applyProtection="1">
      <alignment horizontal="center" vertical="center"/>
      <protection hidden="1"/>
    </xf>
    <xf numFmtId="187" fontId="11" fillId="0" borderId="0" xfId="34" applyNumberFormat="1" applyFont="1" applyBorder="1" applyAlignment="1">
      <alignment horizontal="center" vertical="center"/>
    </xf>
    <xf numFmtId="0" fontId="83" fillId="0" borderId="0" xfId="45" applyFont="1" applyAlignment="1">
      <alignment horizontal="center" vertical="center"/>
    </xf>
    <xf numFmtId="41" fontId="7" fillId="0" borderId="20" xfId="35" applyFont="1" applyBorder="1" applyAlignment="1" applyProtection="1">
      <alignment horizontal="center" vertical="center"/>
      <protection hidden="1"/>
    </xf>
    <xf numFmtId="0" fontId="11" fillId="0" borderId="35" xfId="44" applyFont="1" applyBorder="1" applyAlignment="1">
      <alignment horizontal="center" vertical="center"/>
    </xf>
    <xf numFmtId="0" fontId="9" fillId="0" borderId="0" xfId="44" applyFont="1" applyBorder="1" applyAlignment="1">
      <alignment horizontal="center" vertical="center"/>
    </xf>
    <xf numFmtId="212" fontId="11" fillId="0" borderId="3" xfId="32" applyNumberFormat="1" applyFont="1" applyBorder="1" applyAlignment="1" applyProtection="1">
      <alignment horizontal="right" vertical="center"/>
      <protection hidden="1"/>
    </xf>
    <xf numFmtId="212" fontId="15" fillId="0" borderId="3" xfId="32" applyNumberFormat="1" applyFont="1" applyBorder="1" applyAlignment="1" applyProtection="1">
      <alignment horizontal="center" vertical="center"/>
      <protection hidden="1"/>
    </xf>
    <xf numFmtId="0" fontId="88" fillId="0" borderId="0" xfId="45" applyFont="1" applyAlignment="1">
      <alignment horizontal="center" vertical="center"/>
    </xf>
    <xf numFmtId="0" fontId="11" fillId="8" borderId="0" xfId="0" applyFont="1" applyFill="1" applyAlignment="1" applyProtection="1">
      <alignment horizontal="left" vertical="center"/>
      <protection hidden="1"/>
    </xf>
    <xf numFmtId="0" fontId="11" fillId="8" borderId="0" xfId="0" applyFont="1" applyFill="1" applyAlignment="1" applyProtection="1">
      <alignment horizontal="center" vertical="center"/>
      <protection hidden="1"/>
    </xf>
    <xf numFmtId="41" fontId="11" fillId="8" borderId="0" xfId="35" applyFont="1" applyFill="1" applyAlignment="1" applyProtection="1">
      <alignment horizontal="center" vertical="center"/>
      <protection hidden="1"/>
    </xf>
    <xf numFmtId="0" fontId="11" fillId="8" borderId="0" xfId="0" applyFont="1" applyFill="1" applyAlignment="1" applyProtection="1">
      <alignment horizontal="right" vertical="center"/>
      <protection hidden="1"/>
    </xf>
    <xf numFmtId="41" fontId="5" fillId="0" borderId="20" xfId="35" applyFont="1" applyBorder="1" applyAlignment="1" applyProtection="1">
      <alignment horizontal="center" vertical="center" shrinkToFit="1"/>
      <protection hidden="1"/>
    </xf>
    <xf numFmtId="41" fontId="5" fillId="0" borderId="8" xfId="35" applyFont="1" applyBorder="1" applyAlignment="1" applyProtection="1">
      <alignment horizontal="center" vertical="center" shrinkToFit="1"/>
      <protection hidden="1"/>
    </xf>
    <xf numFmtId="14" fontId="5" fillId="0" borderId="3" xfId="35" applyNumberFormat="1" applyFont="1" applyBorder="1" applyAlignment="1" applyProtection="1">
      <alignment horizontal="center" vertical="center" shrinkToFit="1"/>
      <protection hidden="1"/>
    </xf>
    <xf numFmtId="0" fontId="11" fillId="0" borderId="8" xfId="0" applyFont="1" applyBorder="1" applyAlignment="1" applyProtection="1">
      <alignment horizontal="center" vertical="center"/>
      <protection hidden="1"/>
    </xf>
    <xf numFmtId="0" fontId="83" fillId="0" borderId="0" xfId="45" applyFont="1" applyAlignment="1">
      <alignment horizontal="center" vertical="center"/>
    </xf>
    <xf numFmtId="0" fontId="28" fillId="9" borderId="74" xfId="45" applyFont="1" applyFill="1" applyBorder="1" applyAlignment="1">
      <alignment horizontal="center" vertical="center"/>
    </xf>
    <xf numFmtId="179" fontId="28" fillId="0" borderId="42" xfId="45" applyNumberFormat="1" applyFont="1" applyFill="1" applyBorder="1" applyAlignment="1">
      <alignment horizontal="center" vertical="top"/>
    </xf>
    <xf numFmtId="179" fontId="28" fillId="0" borderId="13" xfId="45" applyNumberFormat="1" applyFont="1" applyFill="1" applyBorder="1" applyAlignment="1">
      <alignment horizontal="center" vertical="top"/>
    </xf>
    <xf numFmtId="0" fontId="28" fillId="0" borderId="25" xfId="45" applyFont="1" applyBorder="1" applyAlignment="1">
      <alignment horizontal="center" vertical="center" wrapText="1"/>
    </xf>
    <xf numFmtId="0" fontId="28" fillId="0" borderId="13" xfId="45" applyFont="1" applyBorder="1" applyAlignment="1">
      <alignment horizontal="center" vertical="top"/>
    </xf>
    <xf numFmtId="0" fontId="28" fillId="0" borderId="13" xfId="45" applyFont="1" applyFill="1" applyBorder="1" applyAlignment="1">
      <alignment horizontal="center" vertical="top"/>
    </xf>
    <xf numFmtId="0" fontId="28" fillId="0" borderId="66" xfId="45" applyFont="1" applyFill="1" applyBorder="1" applyAlignment="1">
      <alignment horizontal="center" vertical="top"/>
    </xf>
    <xf numFmtId="0" fontId="28" fillId="0" borderId="108" xfId="45" applyFont="1" applyFill="1" applyBorder="1" applyAlignment="1">
      <alignment horizontal="center" vertical="top"/>
    </xf>
    <xf numFmtId="0" fontId="28" fillId="0" borderId="72" xfId="45" applyFont="1" applyBorder="1" applyAlignment="1">
      <alignment horizontal="center" vertical="top"/>
    </xf>
    <xf numFmtId="0" fontId="28" fillId="0" borderId="8" xfId="45" applyFont="1" applyBorder="1" applyAlignment="1">
      <alignment horizontal="center" vertical="top"/>
    </xf>
    <xf numFmtId="0" fontId="28" fillId="0" borderId="3" xfId="45" applyFont="1" applyBorder="1" applyAlignment="1">
      <alignment horizontal="center" vertical="top"/>
    </xf>
    <xf numFmtId="0" fontId="28" fillId="0" borderId="3" xfId="45" applyFont="1" applyFill="1" applyBorder="1" applyAlignment="1">
      <alignment horizontal="center" vertical="top"/>
    </xf>
    <xf numFmtId="0" fontId="28" fillId="0" borderId="20" xfId="45" applyFont="1" applyFill="1" applyBorder="1" applyAlignment="1">
      <alignment horizontal="center" vertical="top"/>
    </xf>
    <xf numFmtId="0" fontId="28" fillId="0" borderId="73" xfId="45" applyFont="1" applyFill="1" applyBorder="1" applyAlignment="1">
      <alignment horizontal="center" vertical="top"/>
    </xf>
    <xf numFmtId="0" fontId="28" fillId="0" borderId="39" xfId="45" applyFont="1" applyBorder="1" applyAlignment="1">
      <alignment horizontal="center" vertical="top"/>
    </xf>
    <xf numFmtId="0" fontId="28" fillId="0" borderId="15" xfId="45" applyFont="1" applyBorder="1" applyAlignment="1">
      <alignment horizontal="center" vertical="top"/>
    </xf>
    <xf numFmtId="0" fontId="28" fillId="0" borderId="15" xfId="45" applyFont="1" applyFill="1" applyBorder="1" applyAlignment="1">
      <alignment horizontal="center" vertical="top"/>
    </xf>
    <xf numFmtId="0" fontId="28" fillId="0" borderId="69" xfId="45" applyFont="1" applyBorder="1" applyAlignment="1">
      <alignment horizontal="center" vertical="top"/>
    </xf>
    <xf numFmtId="0" fontId="28" fillId="0" borderId="70" xfId="45" applyFont="1" applyBorder="1" applyAlignment="1">
      <alignment horizontal="center" vertical="top"/>
    </xf>
    <xf numFmtId="0" fontId="28" fillId="0" borderId="70" xfId="45" applyFont="1" applyFill="1" applyBorder="1" applyAlignment="1">
      <alignment horizontal="center" vertical="top"/>
    </xf>
    <xf numFmtId="0" fontId="28" fillId="0" borderId="109" xfId="45" applyFont="1" applyFill="1" applyBorder="1" applyAlignment="1">
      <alignment horizontal="center" vertical="top"/>
    </xf>
    <xf numFmtId="0" fontId="28" fillId="0" borderId="71" xfId="45" applyFont="1" applyFill="1" applyBorder="1" applyAlignment="1">
      <alignment horizontal="center" vertical="top"/>
    </xf>
    <xf numFmtId="0" fontId="28" fillId="0" borderId="74" xfId="45" applyFont="1" applyBorder="1" applyAlignment="1">
      <alignment horizontal="center" vertical="top"/>
    </xf>
    <xf numFmtId="0" fontId="28" fillId="0" borderId="75" xfId="45" applyFont="1" applyBorder="1" applyAlignment="1">
      <alignment horizontal="center" vertical="top"/>
    </xf>
    <xf numFmtId="0" fontId="28" fillId="0" borderId="75" xfId="45" applyFont="1" applyFill="1" applyBorder="1" applyAlignment="1">
      <alignment horizontal="center" vertical="top"/>
    </xf>
    <xf numFmtId="0" fontId="28" fillId="0" borderId="122" xfId="45" applyFont="1" applyFill="1" applyBorder="1" applyAlignment="1">
      <alignment horizontal="center" vertical="top"/>
    </xf>
    <xf numFmtId="179" fontId="28" fillId="0" borderId="3" xfId="45" applyNumberFormat="1" applyFont="1" applyBorder="1" applyAlignment="1">
      <alignment horizontal="center" vertical="top"/>
    </xf>
    <xf numFmtId="179" fontId="28" fillId="0" borderId="3" xfId="45" applyNumberFormat="1" applyFont="1" applyFill="1" applyBorder="1" applyAlignment="1">
      <alignment horizontal="center" vertical="top"/>
    </xf>
    <xf numFmtId="179" fontId="28" fillId="0" borderId="15" xfId="45" applyNumberFormat="1" applyFont="1" applyFill="1" applyBorder="1" applyAlignment="1">
      <alignment horizontal="center" vertical="top"/>
    </xf>
    <xf numFmtId="179" fontId="28" fillId="0" borderId="44" xfId="45" applyNumberFormat="1" applyFont="1" applyFill="1" applyBorder="1" applyAlignment="1">
      <alignment horizontal="center" vertical="top"/>
    </xf>
    <xf numFmtId="179" fontId="28" fillId="0" borderId="107" xfId="45" applyNumberFormat="1" applyFont="1" applyFill="1" applyBorder="1" applyAlignment="1">
      <alignment horizontal="center" vertical="top"/>
    </xf>
    <xf numFmtId="179" fontId="28" fillId="0" borderId="69" xfId="45" applyNumberFormat="1" applyFont="1" applyBorder="1" applyAlignment="1">
      <alignment horizontal="center" vertical="top"/>
    </xf>
    <xf numFmtId="179" fontId="28" fillId="0" borderId="111" xfId="45" applyNumberFormat="1" applyFont="1" applyBorder="1" applyAlignment="1">
      <alignment horizontal="center" vertical="top"/>
    </xf>
    <xf numFmtId="179" fontId="28" fillId="0" borderId="70" xfId="45" applyNumberFormat="1" applyFont="1" applyBorder="1" applyAlignment="1">
      <alignment horizontal="center" vertical="top"/>
    </xf>
    <xf numFmtId="179" fontId="28" fillId="0" borderId="20" xfId="45" applyNumberFormat="1" applyFont="1" applyFill="1" applyBorder="1" applyAlignment="1">
      <alignment horizontal="center" vertical="top"/>
    </xf>
    <xf numFmtId="179" fontId="28" fillId="0" borderId="70" xfId="45" applyNumberFormat="1" applyFont="1" applyFill="1" applyBorder="1" applyAlignment="1">
      <alignment horizontal="center" vertical="top"/>
    </xf>
    <xf numFmtId="179" fontId="28" fillId="0" borderId="109" xfId="45" applyNumberFormat="1" applyFont="1" applyFill="1" applyBorder="1" applyAlignment="1">
      <alignment horizontal="center" vertical="top"/>
    </xf>
    <xf numFmtId="0" fontId="56" fillId="0" borderId="8" xfId="45" applyFont="1" applyBorder="1" applyAlignment="1">
      <alignment horizontal="center" vertical="top"/>
    </xf>
    <xf numFmtId="0" fontId="56" fillId="0" borderId="3" xfId="45" applyFont="1" applyBorder="1" applyAlignment="1">
      <alignment horizontal="center" vertical="top"/>
    </xf>
    <xf numFmtId="179" fontId="56" fillId="0" borderId="3" xfId="45" applyNumberFormat="1" applyFont="1" applyBorder="1" applyAlignment="1">
      <alignment horizontal="center" vertical="top"/>
    </xf>
    <xf numFmtId="0" fontId="56" fillId="0" borderId="3" xfId="45" applyFont="1" applyFill="1" applyBorder="1" applyAlignment="1">
      <alignment horizontal="center" vertical="top"/>
    </xf>
    <xf numFmtId="0" fontId="56" fillId="0" borderId="20" xfId="45" applyFont="1" applyFill="1" applyBorder="1" applyAlignment="1">
      <alignment horizontal="center" vertical="top"/>
    </xf>
    <xf numFmtId="0" fontId="56" fillId="0" borderId="73" xfId="45" applyFont="1" applyFill="1" applyBorder="1" applyAlignment="1">
      <alignment horizontal="center" vertical="top"/>
    </xf>
    <xf numFmtId="179" fontId="56" fillId="0" borderId="3" xfId="45" applyNumberFormat="1" applyFont="1" applyFill="1" applyBorder="1" applyAlignment="1">
      <alignment horizontal="center" vertical="top"/>
    </xf>
    <xf numFmtId="179" fontId="56" fillId="0" borderId="20" xfId="45" applyNumberFormat="1" applyFont="1" applyFill="1" applyBorder="1" applyAlignment="1">
      <alignment horizontal="center" vertical="top"/>
    </xf>
    <xf numFmtId="0" fontId="56" fillId="0" borderId="39" xfId="45" applyFont="1" applyBorder="1" applyAlignment="1">
      <alignment horizontal="center" vertical="top"/>
    </xf>
    <xf numFmtId="0" fontId="56" fillId="0" borderId="15" xfId="45" applyFont="1" applyBorder="1" applyAlignment="1">
      <alignment horizontal="center" vertical="top"/>
    </xf>
    <xf numFmtId="0" fontId="56" fillId="0" borderId="15" xfId="45" applyFont="1" applyFill="1" applyBorder="1" applyAlignment="1">
      <alignment horizontal="center" vertical="top"/>
    </xf>
    <xf numFmtId="179" fontId="56" fillId="0" borderId="15" xfId="45" applyNumberFormat="1" applyFont="1" applyFill="1" applyBorder="1" applyAlignment="1">
      <alignment horizontal="center" vertical="top"/>
    </xf>
    <xf numFmtId="179" fontId="56" fillId="0" borderId="44" xfId="45" applyNumberFormat="1" applyFont="1" applyFill="1" applyBorder="1" applyAlignment="1">
      <alignment horizontal="center" vertical="top"/>
    </xf>
    <xf numFmtId="179" fontId="56" fillId="0" borderId="107" xfId="45" applyNumberFormat="1" applyFont="1" applyFill="1" applyBorder="1" applyAlignment="1">
      <alignment horizontal="center" vertical="top"/>
    </xf>
    <xf numFmtId="0" fontId="56" fillId="0" borderId="111" xfId="45" applyFont="1" applyBorder="1" applyAlignment="1">
      <alignment horizontal="center" vertical="top"/>
    </xf>
    <xf numFmtId="0" fontId="56" fillId="0" borderId="70" xfId="45" applyFont="1" applyBorder="1" applyAlignment="1">
      <alignment horizontal="center" vertical="top"/>
    </xf>
    <xf numFmtId="179" fontId="56" fillId="0" borderId="70" xfId="45" applyNumberFormat="1" applyFont="1" applyBorder="1" applyAlignment="1">
      <alignment horizontal="center" vertical="top"/>
    </xf>
    <xf numFmtId="179" fontId="56" fillId="0" borderId="70" xfId="45" applyNumberFormat="1" applyFont="1" applyFill="1" applyBorder="1" applyAlignment="1">
      <alignment horizontal="center" vertical="top"/>
    </xf>
    <xf numFmtId="179" fontId="56" fillId="0" borderId="109" xfId="45" applyNumberFormat="1" applyFont="1" applyFill="1" applyBorder="1" applyAlignment="1">
      <alignment horizontal="center" vertical="top"/>
    </xf>
    <xf numFmtId="179" fontId="56" fillId="0" borderId="71" xfId="45" applyNumberFormat="1" applyFont="1" applyFill="1" applyBorder="1" applyAlignment="1">
      <alignment horizontal="center" vertical="top"/>
    </xf>
    <xf numFmtId="179" fontId="56" fillId="0" borderId="73" xfId="45" applyNumberFormat="1" applyFont="1" applyFill="1" applyBorder="1" applyAlignment="1">
      <alignment horizontal="center" vertical="top"/>
    </xf>
    <xf numFmtId="0" fontId="56" fillId="0" borderId="70" xfId="45" applyFont="1" applyFill="1" applyBorder="1" applyAlignment="1">
      <alignment horizontal="center" vertical="top"/>
    </xf>
    <xf numFmtId="0" fontId="56" fillId="0" borderId="109" xfId="45" applyFont="1" applyFill="1" applyBorder="1" applyAlignment="1">
      <alignment horizontal="center" vertical="top"/>
    </xf>
    <xf numFmtId="0" fontId="56" fillId="0" borderId="46" xfId="45" applyFont="1" applyBorder="1" applyAlignment="1">
      <alignment horizontal="center" vertical="top"/>
    </xf>
    <xf numFmtId="0" fontId="56" fillId="0" borderId="75" xfId="45" applyFont="1" applyBorder="1" applyAlignment="1">
      <alignment horizontal="center" vertical="top"/>
    </xf>
    <xf numFmtId="0" fontId="56" fillId="0" borderId="75" xfId="45" applyFont="1" applyFill="1" applyBorder="1" applyAlignment="1">
      <alignment horizontal="center" vertical="top"/>
    </xf>
    <xf numFmtId="0" fontId="56" fillId="0" borderId="122" xfId="45" applyFont="1" applyFill="1" applyBorder="1" applyAlignment="1">
      <alignment horizontal="center" vertical="top"/>
    </xf>
    <xf numFmtId="0" fontId="56" fillId="0" borderId="49" xfId="45" applyFont="1" applyFill="1" applyBorder="1" applyAlignment="1">
      <alignment horizontal="center" vertical="top"/>
    </xf>
    <xf numFmtId="0" fontId="28" fillId="0" borderId="73" xfId="45" applyFont="1" applyBorder="1" applyAlignment="1">
      <alignment horizontal="left" vertical="center"/>
    </xf>
    <xf numFmtId="0" fontId="28" fillId="0" borderId="125" xfId="45" applyFont="1" applyBorder="1" applyAlignment="1">
      <alignment horizontal="center" vertical="center" wrapText="1"/>
    </xf>
    <xf numFmtId="0" fontId="28" fillId="0" borderId="126" xfId="45" applyFont="1" applyBorder="1" applyAlignment="1">
      <alignment horizontal="center" vertical="center" wrapText="1"/>
    </xf>
    <xf numFmtId="0" fontId="28" fillId="0" borderId="23" xfId="45" applyFont="1" applyBorder="1" applyAlignment="1">
      <alignment horizontal="center" vertical="center" wrapText="1"/>
    </xf>
    <xf numFmtId="0" fontId="28" fillId="0" borderId="123" xfId="45" applyFont="1" applyBorder="1" applyAlignment="1">
      <alignment horizontal="center" vertical="center" wrapText="1"/>
    </xf>
    <xf numFmtId="0" fontId="28" fillId="0" borderId="122" xfId="45" applyFont="1" applyBorder="1" applyAlignment="1">
      <alignment horizontal="left" vertical="center"/>
    </xf>
    <xf numFmtId="179" fontId="28" fillId="0" borderId="72" xfId="45" applyNumberFormat="1" applyFont="1" applyBorder="1" applyAlignment="1">
      <alignment horizontal="center" vertical="top"/>
    </xf>
    <xf numFmtId="0" fontId="28" fillId="9" borderId="122" xfId="45" applyFont="1" applyFill="1" applyBorder="1" applyAlignment="1">
      <alignment horizontal="center" vertical="center"/>
    </xf>
    <xf numFmtId="0" fontId="28" fillId="0" borderId="127" xfId="45" applyFont="1" applyBorder="1" applyAlignment="1">
      <alignment horizontal="center" vertical="center" wrapText="1"/>
    </xf>
    <xf numFmtId="0" fontId="28" fillId="0" borderId="124" xfId="45" applyFont="1" applyBorder="1" applyAlignment="1">
      <alignment horizontal="center" vertical="center" wrapText="1"/>
    </xf>
    <xf numFmtId="179" fontId="28" fillId="0" borderId="75" xfId="45" applyNumberFormat="1" applyFont="1" applyFill="1" applyBorder="1" applyAlignment="1">
      <alignment horizontal="center" vertical="top"/>
    </xf>
    <xf numFmtId="41" fontId="11" fillId="0" borderId="3" xfId="35" applyFont="1" applyFill="1" applyBorder="1" applyAlignment="1" applyProtection="1">
      <alignment horizontal="center" vertical="center"/>
      <protection hidden="1"/>
    </xf>
    <xf numFmtId="0" fontId="28" fillId="0" borderId="3" xfId="40" applyBorder="1" applyAlignment="1">
      <alignment horizontal="center" vertical="center"/>
    </xf>
    <xf numFmtId="194" fontId="28" fillId="0" borderId="20" xfId="35" applyNumberFormat="1" applyFont="1" applyBorder="1" applyAlignment="1">
      <alignment horizontal="right" vertical="center"/>
    </xf>
    <xf numFmtId="194" fontId="28" fillId="0" borderId="8" xfId="35" applyNumberFormat="1" applyFont="1" applyBorder="1" applyAlignment="1">
      <alignment horizontal="right" vertical="center"/>
    </xf>
    <xf numFmtId="0" fontId="30" fillId="0" borderId="0" xfId="40" applyFont="1" applyAlignment="1">
      <alignment horizontal="center" vertical="center"/>
    </xf>
    <xf numFmtId="0" fontId="32" fillId="0" borderId="0" xfId="40" applyFont="1" applyAlignment="1">
      <alignment horizontal="center" vertical="center"/>
    </xf>
    <xf numFmtId="0" fontId="5" fillId="3" borderId="20" xfId="0" applyFont="1" applyFill="1" applyBorder="1" applyAlignment="1" applyProtection="1">
      <alignment horizontal="center" vertical="center"/>
      <protection hidden="1"/>
    </xf>
    <xf numFmtId="0" fontId="5" fillId="3" borderId="2" xfId="0" applyFont="1" applyFill="1" applyBorder="1" applyAlignment="1" applyProtection="1">
      <alignment horizontal="center" vertical="center"/>
      <protection hidden="1"/>
    </xf>
    <xf numFmtId="0" fontId="5" fillId="3" borderId="8" xfId="0" applyFont="1" applyFill="1" applyBorder="1" applyAlignment="1" applyProtection="1">
      <alignment horizontal="center" vertical="center"/>
      <protection hidden="1"/>
    </xf>
    <xf numFmtId="0" fontId="5" fillId="0" borderId="20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87" fillId="0" borderId="0" xfId="0" applyFont="1" applyBorder="1" applyAlignment="1" applyProtection="1">
      <alignment horizontal="center" vertical="center"/>
      <protection hidden="1"/>
    </xf>
    <xf numFmtId="0" fontId="5" fillId="0" borderId="3" xfId="0" applyFont="1" applyFill="1" applyBorder="1" applyAlignment="1" applyProtection="1">
      <alignment horizontal="center" vertical="center"/>
      <protection hidden="1"/>
    </xf>
    <xf numFmtId="0" fontId="5" fillId="0" borderId="20" xfId="0" applyFont="1" applyFill="1" applyBorder="1" applyAlignment="1" applyProtection="1">
      <alignment horizontal="center" vertical="center"/>
      <protection hidden="1"/>
    </xf>
    <xf numFmtId="0" fontId="5" fillId="0" borderId="2" xfId="0" applyFont="1" applyFill="1" applyBorder="1" applyAlignment="1" applyProtection="1">
      <alignment horizontal="center" vertical="center"/>
      <protection hidden="1"/>
    </xf>
    <xf numFmtId="0" fontId="5" fillId="0" borderId="8" xfId="0" applyFont="1" applyFill="1" applyBorder="1" applyAlignment="1" applyProtection="1">
      <alignment horizontal="center" vertical="center"/>
      <protection hidden="1"/>
    </xf>
    <xf numFmtId="41" fontId="5" fillId="0" borderId="20" xfId="35" applyFont="1" applyBorder="1" applyAlignment="1" applyProtection="1">
      <alignment horizontal="center" vertical="center" shrinkToFit="1"/>
      <protection hidden="1"/>
    </xf>
    <xf numFmtId="41" fontId="5" fillId="0" borderId="2" xfId="35" applyFont="1" applyBorder="1" applyAlignment="1" applyProtection="1">
      <alignment horizontal="center" vertical="center" shrinkToFit="1"/>
      <protection hidden="1"/>
    </xf>
    <xf numFmtId="41" fontId="5" fillId="0" borderId="8" xfId="35" applyFont="1" applyBorder="1" applyAlignment="1" applyProtection="1">
      <alignment horizontal="center" vertical="center" shrinkToFit="1"/>
      <protection hidden="1"/>
    </xf>
    <xf numFmtId="0" fontId="5" fillId="0" borderId="44" xfId="0" applyFont="1" applyBorder="1" applyAlignment="1" applyProtection="1">
      <alignment horizontal="center" vertical="center"/>
      <protection hidden="1"/>
    </xf>
    <xf numFmtId="0" fontId="5" fillId="0" borderId="39" xfId="0" applyFont="1" applyBorder="1" applyAlignment="1" applyProtection="1">
      <alignment horizontal="center" vertical="center"/>
      <protection hidden="1"/>
    </xf>
    <xf numFmtId="0" fontId="5" fillId="0" borderId="66" xfId="0" applyFont="1" applyBorder="1" applyAlignment="1" applyProtection="1">
      <alignment horizontal="center" vertical="center"/>
      <protection hidden="1"/>
    </xf>
    <xf numFmtId="0" fontId="5" fillId="0" borderId="42" xfId="0" applyFont="1" applyBorder="1" applyAlignment="1" applyProtection="1">
      <alignment horizontal="center" vertical="center"/>
      <protection hidden="1"/>
    </xf>
    <xf numFmtId="41" fontId="6" fillId="0" borderId="20" xfId="0" applyNumberFormat="1" applyFont="1" applyBorder="1" applyAlignment="1" applyProtection="1">
      <alignment horizontal="left" vertical="center"/>
      <protection hidden="1"/>
    </xf>
    <xf numFmtId="0" fontId="6" fillId="0" borderId="8" xfId="0" applyFont="1" applyBorder="1" applyAlignment="1" applyProtection="1">
      <alignment horizontal="left" vertical="center"/>
      <protection hidden="1"/>
    </xf>
    <xf numFmtId="0" fontId="6" fillId="3" borderId="20" xfId="0" applyFont="1" applyFill="1" applyBorder="1" applyAlignment="1" applyProtection="1">
      <alignment horizontal="center" vertical="center"/>
      <protection hidden="1"/>
    </xf>
    <xf numFmtId="0" fontId="6" fillId="3" borderId="8" xfId="0" applyFont="1" applyFill="1" applyBorder="1" applyAlignment="1" applyProtection="1">
      <alignment horizontal="center" vertical="center"/>
      <protection hidden="1"/>
    </xf>
    <xf numFmtId="41" fontId="6" fillId="0" borderId="20" xfId="35" applyFont="1" applyBorder="1" applyAlignment="1" applyProtection="1">
      <alignment horizontal="center" vertical="center"/>
      <protection hidden="1"/>
    </xf>
    <xf numFmtId="41" fontId="6" fillId="0" borderId="8" xfId="35" applyFont="1" applyBorder="1" applyAlignment="1" applyProtection="1">
      <alignment horizontal="center" vertical="center"/>
      <protection hidden="1"/>
    </xf>
    <xf numFmtId="41" fontId="5" fillId="0" borderId="20" xfId="35" applyFont="1" applyBorder="1" applyAlignment="1" applyProtection="1">
      <alignment horizontal="center" vertical="center"/>
      <protection hidden="1"/>
    </xf>
    <xf numFmtId="41" fontId="5" fillId="0" borderId="2" xfId="35" applyFont="1" applyBorder="1" applyAlignment="1" applyProtection="1">
      <alignment horizontal="center" vertical="center"/>
      <protection hidden="1"/>
    </xf>
    <xf numFmtId="41" fontId="5" fillId="0" borderId="8" xfId="35" applyFont="1" applyBorder="1" applyAlignment="1" applyProtection="1">
      <alignment horizontal="center" vertical="center"/>
      <protection hidden="1"/>
    </xf>
    <xf numFmtId="184" fontId="5" fillId="0" borderId="82" xfId="0" applyNumberFormat="1" applyFont="1" applyBorder="1" applyAlignment="1" applyProtection="1">
      <alignment horizontal="center" vertical="center"/>
      <protection hidden="1"/>
    </xf>
    <xf numFmtId="184" fontId="5" fillId="0" borderId="11" xfId="0" applyNumberFormat="1" applyFont="1" applyBorder="1" applyAlignment="1" applyProtection="1">
      <alignment horizontal="center" vertical="center"/>
      <protection hidden="1"/>
    </xf>
    <xf numFmtId="184" fontId="5" fillId="0" borderId="83" xfId="0" applyNumberFormat="1" applyFont="1" applyBorder="1" applyAlignment="1" applyProtection="1">
      <alignment horizontal="center" vertical="center"/>
      <protection hidden="1"/>
    </xf>
    <xf numFmtId="184" fontId="5" fillId="0" borderId="84" xfId="0" applyNumberFormat="1" applyFont="1" applyBorder="1" applyAlignment="1" applyProtection="1">
      <alignment horizontal="center" vertical="center"/>
      <protection hidden="1"/>
    </xf>
    <xf numFmtId="0" fontId="5" fillId="3" borderId="3" xfId="0" applyFont="1" applyFill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86" xfId="0" applyFont="1" applyBorder="1" applyAlignment="1" applyProtection="1">
      <alignment horizontal="center" vertical="center"/>
      <protection hidden="1"/>
    </xf>
    <xf numFmtId="0" fontId="5" fillId="0" borderId="12" xfId="0" applyFont="1" applyBorder="1" applyAlignment="1" applyProtection="1">
      <alignment horizontal="center" vertical="center"/>
      <protection hidden="1"/>
    </xf>
    <xf numFmtId="0" fontId="5" fillId="0" borderId="81" xfId="0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0" fontId="5" fillId="0" borderId="21" xfId="0" applyFont="1" applyBorder="1" applyAlignment="1" applyProtection="1">
      <alignment horizontal="center" vertical="center"/>
      <protection hidden="1"/>
    </xf>
    <xf numFmtId="0" fontId="5" fillId="0" borderId="29" xfId="0" applyFont="1" applyBorder="1" applyAlignment="1" applyProtection="1">
      <alignment horizontal="center" vertical="center"/>
      <protection hidden="1"/>
    </xf>
    <xf numFmtId="0" fontId="5" fillId="0" borderId="68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5" fillId="0" borderId="85" xfId="0" applyFont="1" applyBorder="1" applyAlignment="1" applyProtection="1">
      <alignment horizontal="center" vertical="center"/>
      <protection hidden="1"/>
    </xf>
    <xf numFmtId="41" fontId="89" fillId="0" borderId="0" xfId="0" applyNumberFormat="1" applyFont="1" applyAlignment="1" applyProtection="1">
      <alignment horizontal="center" vertical="center"/>
      <protection hidden="1"/>
    </xf>
    <xf numFmtId="0" fontId="89" fillId="0" borderId="0" xfId="0" applyFont="1" applyAlignment="1" applyProtection="1">
      <alignment horizontal="center" vertical="center"/>
      <protection hidden="1"/>
    </xf>
    <xf numFmtId="0" fontId="11" fillId="0" borderId="3" xfId="0" applyFont="1" applyBorder="1" applyAlignment="1" applyProtection="1">
      <alignment horizontal="center" vertical="center"/>
      <protection hidden="1"/>
    </xf>
    <xf numFmtId="0" fontId="11" fillId="0" borderId="20" xfId="0" applyFont="1" applyBorder="1" applyAlignment="1" applyProtection="1">
      <alignment horizontal="center" vertical="center"/>
      <protection hidden="1"/>
    </xf>
    <xf numFmtId="0" fontId="11" fillId="8" borderId="3" xfId="0" applyFont="1" applyFill="1" applyBorder="1" applyAlignment="1" applyProtection="1">
      <alignment horizontal="center" vertical="center"/>
      <protection hidden="1"/>
    </xf>
    <xf numFmtId="0" fontId="11" fillId="0" borderId="8" xfId="0" applyFont="1" applyBorder="1" applyAlignment="1" applyProtection="1">
      <alignment horizontal="center" vertical="center"/>
      <protection hidden="1"/>
    </xf>
    <xf numFmtId="0" fontId="10" fillId="0" borderId="0" xfId="0" applyFont="1" applyBorder="1" applyAlignment="1" applyProtection="1">
      <alignment horizontal="center" vertical="center"/>
      <protection hidden="1"/>
    </xf>
    <xf numFmtId="0" fontId="11" fillId="3" borderId="3" xfId="0" applyFont="1" applyFill="1" applyBorder="1" applyAlignment="1" applyProtection="1">
      <alignment horizontal="center" vertical="center"/>
      <protection hidden="1"/>
    </xf>
    <xf numFmtId="0" fontId="11" fillId="0" borderId="8" xfId="0" applyFont="1" applyFill="1" applyBorder="1" applyAlignment="1" applyProtection="1">
      <alignment horizontal="center" vertical="center"/>
      <protection hidden="1"/>
    </xf>
    <xf numFmtId="0" fontId="11" fillId="0" borderId="3" xfId="0" applyFont="1" applyFill="1" applyBorder="1" applyAlignment="1" applyProtection="1">
      <alignment horizontal="center" vertical="center"/>
      <protection hidden="1"/>
    </xf>
    <xf numFmtId="0" fontId="19" fillId="0" borderId="24" xfId="0" applyFont="1" applyBorder="1" applyAlignment="1" applyProtection="1">
      <alignment horizontal="left" vertical="center"/>
      <protection hidden="1"/>
    </xf>
    <xf numFmtId="0" fontId="11" fillId="0" borderId="44" xfId="0" applyFont="1" applyBorder="1" applyAlignment="1" applyProtection="1">
      <alignment horizontal="center" vertical="center"/>
      <protection hidden="1"/>
    </xf>
    <xf numFmtId="0" fontId="11" fillId="0" borderId="24" xfId="0" applyFont="1" applyBorder="1" applyAlignment="1" applyProtection="1">
      <alignment horizontal="center" vertical="center"/>
      <protection hidden="1"/>
    </xf>
    <xf numFmtId="0" fontId="11" fillId="0" borderId="39" xfId="0" applyFont="1" applyBorder="1" applyAlignment="1" applyProtection="1">
      <alignment horizontal="center" vertical="center"/>
      <protection hidden="1"/>
    </xf>
    <xf numFmtId="0" fontId="11" fillId="0" borderId="2" xfId="0" applyFont="1" applyBorder="1" applyAlignment="1" applyProtection="1">
      <alignment horizontal="center" vertical="center"/>
      <protection hidden="1"/>
    </xf>
    <xf numFmtId="0" fontId="19" fillId="0" borderId="66" xfId="0" applyFont="1" applyBorder="1" applyAlignment="1" applyProtection="1">
      <alignment horizontal="center" vertical="center"/>
      <protection hidden="1"/>
    </xf>
    <xf numFmtId="0" fontId="19" fillId="0" borderId="6" xfId="0" applyFont="1" applyBorder="1" applyAlignment="1" applyProtection="1">
      <alignment horizontal="center" vertical="center"/>
      <protection hidden="1"/>
    </xf>
    <xf numFmtId="0" fontId="19" fillId="0" borderId="42" xfId="0" applyFont="1" applyBorder="1" applyAlignment="1" applyProtection="1">
      <alignment horizontal="center" vertical="center"/>
      <protection hidden="1"/>
    </xf>
    <xf numFmtId="0" fontId="11" fillId="0" borderId="15" xfId="0" applyFont="1" applyBorder="1" applyAlignment="1" applyProtection="1">
      <alignment horizontal="center" vertical="center"/>
      <protection hidden="1"/>
    </xf>
    <xf numFmtId="0" fontId="11" fillId="0" borderId="5" xfId="0" applyFont="1" applyBorder="1" applyAlignment="1" applyProtection="1">
      <alignment horizontal="center" vertical="center"/>
      <protection hidden="1"/>
    </xf>
    <xf numFmtId="0" fontId="11" fillId="0" borderId="13" xfId="0" applyFont="1" applyBorder="1" applyAlignment="1" applyProtection="1">
      <alignment horizontal="center" vertical="center"/>
      <protection hidden="1"/>
    </xf>
    <xf numFmtId="0" fontId="9" fillId="0" borderId="44" xfId="0" applyFont="1" applyBorder="1" applyAlignment="1" applyProtection="1">
      <alignment horizontal="center" vertical="center"/>
      <protection hidden="1"/>
    </xf>
    <xf numFmtId="0" fontId="9" fillId="0" borderId="39" xfId="0" applyFont="1" applyBorder="1" applyAlignment="1" applyProtection="1">
      <alignment horizontal="center" vertical="center"/>
      <protection hidden="1"/>
    </xf>
    <xf numFmtId="0" fontId="9" fillId="0" borderId="20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/>
      <protection hidden="1"/>
    </xf>
    <xf numFmtId="0" fontId="9" fillId="0" borderId="66" xfId="0" applyFont="1" applyBorder="1" applyAlignment="1" applyProtection="1">
      <alignment horizontal="center" vertical="center"/>
      <protection hidden="1"/>
    </xf>
    <xf numFmtId="0" fontId="9" fillId="0" borderId="42" xfId="0" applyFont="1" applyBorder="1" applyAlignment="1" applyProtection="1">
      <alignment horizontal="center" vertical="center"/>
      <protection hidden="1"/>
    </xf>
    <xf numFmtId="0" fontId="26" fillId="0" borderId="0" xfId="43" applyNumberFormat="1" applyFont="1" applyAlignment="1" applyProtection="1">
      <alignment horizontal="center" vertical="center"/>
      <protection locked="0"/>
    </xf>
    <xf numFmtId="10" fontId="40" fillId="0" borderId="0" xfId="32" applyNumberFormat="1" applyFont="1" applyAlignment="1" applyProtection="1">
      <alignment horizontal="center" vertical="center"/>
      <protection locked="0"/>
    </xf>
    <xf numFmtId="0" fontId="40" fillId="0" borderId="0" xfId="43" quotePrefix="1" applyNumberFormat="1" applyFont="1" applyAlignment="1" applyProtection="1">
      <alignment horizontal="left" vertical="center"/>
      <protection locked="0"/>
    </xf>
    <xf numFmtId="199" fontId="35" fillId="0" borderId="0" xfId="38" applyNumberFormat="1" applyFont="1" applyAlignment="1">
      <alignment horizontal="center" vertical="center" shrinkToFit="1"/>
    </xf>
    <xf numFmtId="41" fontId="37" fillId="0" borderId="0" xfId="43" applyNumberFormat="1" applyFont="1" applyAlignment="1">
      <alignment horizontal="center" vertical="center"/>
    </xf>
    <xf numFmtId="198" fontId="37" fillId="0" borderId="0" xfId="43" applyNumberFormat="1" applyFont="1" applyAlignment="1" applyProtection="1">
      <alignment horizontal="center" vertical="center"/>
      <protection locked="0"/>
    </xf>
    <xf numFmtId="10" fontId="40" fillId="0" borderId="0" xfId="32" applyNumberFormat="1" applyFont="1" applyAlignment="1" applyProtection="1">
      <alignment horizontal="center" vertical="center" shrinkToFit="1"/>
      <protection locked="0"/>
    </xf>
    <xf numFmtId="201" fontId="40" fillId="0" borderId="0" xfId="43" applyNumberFormat="1" applyFont="1" applyAlignment="1" applyProtection="1">
      <alignment horizontal="center" vertical="center"/>
      <protection locked="0"/>
    </xf>
    <xf numFmtId="0" fontId="50" fillId="0" borderId="20" xfId="0" applyFont="1" applyBorder="1" applyAlignment="1">
      <alignment horizontal="center" wrapText="1"/>
    </xf>
    <xf numFmtId="0" fontId="50" fillId="0" borderId="2" xfId="0" applyFont="1" applyBorder="1" applyAlignment="1">
      <alignment horizontal="center" wrapText="1"/>
    </xf>
    <xf numFmtId="0" fontId="50" fillId="0" borderId="8" xfId="0" applyFont="1" applyBorder="1" applyAlignment="1">
      <alignment horizontal="center" wrapText="1"/>
    </xf>
    <xf numFmtId="10" fontId="35" fillId="0" borderId="0" xfId="32" applyNumberFormat="1" applyFont="1" applyAlignment="1">
      <alignment horizontal="center" vertical="center"/>
    </xf>
    <xf numFmtId="0" fontId="40" fillId="0" borderId="22" xfId="43" applyNumberFormat="1" applyFont="1" applyBorder="1" applyAlignment="1" applyProtection="1">
      <alignment horizontal="right" vertical="center"/>
      <protection locked="0"/>
    </xf>
    <xf numFmtId="10" fontId="37" fillId="0" borderId="0" xfId="32" applyNumberFormat="1" applyFont="1" applyAlignment="1">
      <alignment horizontal="center" vertical="center"/>
    </xf>
    <xf numFmtId="187" fontId="37" fillId="0" borderId="0" xfId="43" applyNumberFormat="1" applyFont="1" applyAlignment="1">
      <alignment horizontal="center" vertical="center" shrinkToFit="1"/>
    </xf>
    <xf numFmtId="41" fontId="37" fillId="0" borderId="0" xfId="35" applyFont="1" applyAlignment="1" applyProtection="1">
      <alignment horizontal="center" vertical="center" shrinkToFit="1"/>
      <protection locked="0"/>
    </xf>
    <xf numFmtId="191" fontId="37" fillId="0" borderId="0" xfId="43" applyNumberFormat="1" applyFont="1" applyAlignment="1" applyProtection="1">
      <alignment horizontal="center" vertical="center"/>
      <protection locked="0"/>
    </xf>
    <xf numFmtId="0" fontId="11" fillId="0" borderId="0" xfId="43" applyFont="1" applyAlignment="1">
      <alignment horizontal="left" vertical="top" wrapText="1"/>
    </xf>
    <xf numFmtId="0" fontId="36" fillId="0" borderId="0" xfId="43" applyFont="1" applyFill="1" applyBorder="1" applyAlignment="1">
      <alignment horizontal="center" vertical="center" wrapText="1"/>
    </xf>
    <xf numFmtId="0" fontId="39" fillId="0" borderId="0" xfId="43" applyNumberFormat="1" applyFont="1" applyAlignment="1" applyProtection="1">
      <alignment horizontal="center" vertical="center"/>
      <protection locked="0"/>
    </xf>
    <xf numFmtId="0" fontId="39" fillId="0" borderId="0" xfId="43" quotePrefix="1" applyNumberFormat="1" applyFont="1" applyAlignment="1" applyProtection="1">
      <alignment horizontal="center" vertical="center"/>
      <protection locked="0"/>
    </xf>
    <xf numFmtId="0" fontId="37" fillId="0" borderId="0" xfId="43" applyNumberFormat="1" applyFont="1" applyAlignment="1" applyProtection="1">
      <alignment horizontal="center" vertical="center"/>
      <protection locked="0"/>
    </xf>
    <xf numFmtId="0" fontId="37" fillId="0" borderId="0" xfId="43" quotePrefix="1" applyNumberFormat="1" applyFont="1" applyAlignment="1" applyProtection="1">
      <alignment horizontal="right" vertical="center"/>
      <protection locked="0"/>
    </xf>
    <xf numFmtId="203" fontId="37" fillId="0" borderId="0" xfId="38" applyNumberFormat="1" applyFont="1" applyAlignment="1">
      <alignment horizontal="center" vertical="center" shrinkToFit="1"/>
    </xf>
    <xf numFmtId="10" fontId="38" fillId="0" borderId="0" xfId="32" applyNumberFormat="1" applyFont="1" applyAlignment="1" applyProtection="1">
      <alignment horizontal="center" vertical="center"/>
      <protection locked="0"/>
    </xf>
    <xf numFmtId="0" fontId="37" fillId="0" borderId="87" xfId="43" applyNumberFormat="1" applyFont="1" applyBorder="1" applyAlignment="1" applyProtection="1">
      <alignment horizontal="center" vertical="center" shrinkToFit="1"/>
      <protection locked="0"/>
    </xf>
    <xf numFmtId="0" fontId="37" fillId="0" borderId="22" xfId="43" applyNumberFormat="1" applyFont="1" applyBorder="1" applyAlignment="1" applyProtection="1">
      <alignment horizontal="center" vertical="center" shrinkToFit="1"/>
      <protection locked="0"/>
    </xf>
    <xf numFmtId="0" fontId="11" fillId="0" borderId="56" xfId="42" applyFont="1" applyBorder="1" applyAlignment="1">
      <alignment horizontal="center" vertical="center"/>
    </xf>
    <xf numFmtId="0" fontId="9" fillId="5" borderId="99" xfId="42" applyFont="1" applyFill="1" applyBorder="1" applyAlignment="1">
      <alignment horizontal="center" vertical="center"/>
    </xf>
    <xf numFmtId="187" fontId="11" fillId="0" borderId="0" xfId="34" applyNumberFormat="1" applyFont="1" applyBorder="1" applyAlignment="1">
      <alignment horizontal="center" vertical="center"/>
    </xf>
    <xf numFmtId="0" fontId="9" fillId="5" borderId="100" xfId="42" applyFont="1" applyFill="1" applyBorder="1" applyAlignment="1">
      <alignment horizontal="center" vertical="center"/>
    </xf>
    <xf numFmtId="0" fontId="9" fillId="5" borderId="101" xfId="42" applyFont="1" applyFill="1" applyBorder="1" applyAlignment="1">
      <alignment horizontal="center" vertical="center"/>
    </xf>
    <xf numFmtId="0" fontId="11" fillId="0" borderId="66" xfId="42" applyFont="1" applyBorder="1" applyAlignment="1">
      <alignment horizontal="left" vertical="top" wrapText="1"/>
    </xf>
    <xf numFmtId="0" fontId="11" fillId="0" borderId="6" xfId="42" applyFont="1" applyBorder="1" applyAlignment="1">
      <alignment horizontal="left" vertical="top" wrapText="1"/>
    </xf>
    <xf numFmtId="0" fontId="9" fillId="0" borderId="58" xfId="42" applyFont="1" applyBorder="1" applyAlignment="1">
      <alignment horizontal="center" vertical="center"/>
    </xf>
    <xf numFmtId="0" fontId="9" fillId="0" borderId="39" xfId="42" applyFont="1" applyBorder="1" applyAlignment="1">
      <alignment horizontal="center" vertical="center"/>
    </xf>
    <xf numFmtId="0" fontId="9" fillId="0" borderId="54" xfId="42" applyFont="1" applyBorder="1" applyAlignment="1">
      <alignment horizontal="center" vertical="center"/>
    </xf>
    <xf numFmtId="0" fontId="9" fillId="0" borderId="29" xfId="42" applyFont="1" applyBorder="1" applyAlignment="1">
      <alignment horizontal="center" vertical="center"/>
    </xf>
    <xf numFmtId="0" fontId="9" fillId="0" borderId="59" xfId="42" applyFont="1" applyBorder="1" applyAlignment="1">
      <alignment horizontal="center" vertical="center"/>
    </xf>
    <xf numFmtId="0" fontId="9" fillId="0" borderId="42" xfId="42" applyFont="1" applyBorder="1" applyAlignment="1">
      <alignment horizontal="center" vertical="center"/>
    </xf>
    <xf numFmtId="0" fontId="57" fillId="2" borderId="3" xfId="0" applyFont="1" applyFill="1" applyBorder="1" applyAlignment="1">
      <alignment horizontal="center" wrapText="1"/>
    </xf>
    <xf numFmtId="10" fontId="46" fillId="5" borderId="63" xfId="32" applyNumberFormat="1" applyFont="1" applyFill="1" applyBorder="1" applyAlignment="1">
      <alignment horizontal="center" vertical="center"/>
    </xf>
    <xf numFmtId="10" fontId="46" fillId="5" borderId="102" xfId="32" applyNumberFormat="1" applyFont="1" applyFill="1" applyBorder="1" applyAlignment="1">
      <alignment horizontal="center" vertical="center"/>
    </xf>
    <xf numFmtId="187" fontId="11" fillId="0" borderId="21" xfId="34" applyNumberFormat="1" applyFont="1" applyBorder="1" applyAlignment="1">
      <alignment horizontal="center" vertical="center"/>
    </xf>
    <xf numFmtId="0" fontId="11" fillId="0" borderId="92" xfId="42" applyFont="1" applyBorder="1" applyAlignment="1">
      <alignment horizontal="center" vertical="center"/>
    </xf>
    <xf numFmtId="0" fontId="11" fillId="0" borderId="93" xfId="42" applyFont="1" applyBorder="1" applyAlignment="1">
      <alignment horizontal="center" vertical="center"/>
    </xf>
    <xf numFmtId="0" fontId="44" fillId="0" borderId="0" xfId="42" applyFont="1" applyAlignment="1">
      <alignment horizontal="center" vertical="center"/>
    </xf>
    <xf numFmtId="187" fontId="11" fillId="0" borderId="6" xfId="34" applyNumberFormat="1" applyFont="1" applyBorder="1" applyAlignment="1">
      <alignment horizontal="center" vertical="center"/>
    </xf>
    <xf numFmtId="0" fontId="24" fillId="2" borderId="89" xfId="42" applyFont="1" applyFill="1" applyBorder="1" applyAlignment="1">
      <alignment horizontal="center" vertical="center" shrinkToFit="1"/>
    </xf>
    <xf numFmtId="0" fontId="24" fillId="2" borderId="90" xfId="42" applyFont="1" applyFill="1" applyBorder="1" applyAlignment="1">
      <alignment horizontal="center" vertical="center" shrinkToFit="1"/>
    </xf>
    <xf numFmtId="0" fontId="24" fillId="2" borderId="1" xfId="42" applyFont="1" applyFill="1" applyBorder="1" applyAlignment="1">
      <alignment horizontal="left" vertical="center" shrinkToFit="1"/>
    </xf>
    <xf numFmtId="0" fontId="24" fillId="2" borderId="91" xfId="42" applyFont="1" applyFill="1" applyBorder="1" applyAlignment="1">
      <alignment horizontal="left" vertical="center" shrinkToFit="1"/>
    </xf>
    <xf numFmtId="181" fontId="28" fillId="0" borderId="6" xfId="40" applyNumberFormat="1" applyBorder="1" applyAlignment="1">
      <alignment vertical="center"/>
    </xf>
    <xf numFmtId="0" fontId="9" fillId="0" borderId="94" xfId="42" applyFont="1" applyBorder="1" applyAlignment="1">
      <alignment horizontal="center" vertical="center"/>
    </xf>
    <xf numFmtId="0" fontId="9" fillId="0" borderId="95" xfId="42" applyFont="1" applyBorder="1" applyAlignment="1">
      <alignment horizontal="center" vertical="center"/>
    </xf>
    <xf numFmtId="0" fontId="53" fillId="0" borderId="96" xfId="42" applyFont="1" applyBorder="1" applyAlignment="1">
      <alignment horizontal="left" vertical="center" wrapText="1"/>
    </xf>
    <xf numFmtId="0" fontId="53" fillId="0" borderId="97" xfId="42" applyFont="1" applyBorder="1" applyAlignment="1">
      <alignment horizontal="left" vertical="center" wrapText="1"/>
    </xf>
    <xf numFmtId="0" fontId="53" fillId="0" borderId="98" xfId="42" applyFont="1" applyBorder="1" applyAlignment="1">
      <alignment horizontal="left" vertical="center" wrapText="1"/>
    </xf>
    <xf numFmtId="0" fontId="11" fillId="0" borderId="88" xfId="42" applyFont="1" applyBorder="1" applyAlignment="1">
      <alignment horizontal="center" vertical="center"/>
    </xf>
    <xf numFmtId="0" fontId="43" fillId="0" borderId="79" xfId="0" applyFont="1" applyBorder="1" applyAlignment="1" applyProtection="1">
      <alignment horizontal="left" vertical="center"/>
      <protection hidden="1"/>
    </xf>
    <xf numFmtId="0" fontId="43" fillId="0" borderId="4" xfId="0" applyFont="1" applyBorder="1" applyAlignment="1" applyProtection="1">
      <alignment horizontal="left" vertical="center"/>
      <protection hidden="1"/>
    </xf>
    <xf numFmtId="0" fontId="43" fillId="0" borderId="80" xfId="0" applyFont="1" applyBorder="1" applyAlignment="1" applyProtection="1">
      <alignment horizontal="left" vertical="center"/>
      <protection hidden="1"/>
    </xf>
    <xf numFmtId="0" fontId="83" fillId="0" borderId="0" xfId="45" applyFont="1" applyAlignment="1">
      <alignment horizontal="center" vertical="center"/>
    </xf>
    <xf numFmtId="0" fontId="31" fillId="0" borderId="4" xfId="45" applyFont="1" applyBorder="1">
      <alignment vertical="center"/>
    </xf>
    <xf numFmtId="0" fontId="28" fillId="9" borderId="69" xfId="45" applyFont="1" applyFill="1" applyBorder="1" applyAlignment="1">
      <alignment horizontal="center" vertical="center"/>
    </xf>
    <xf numFmtId="0" fontId="28" fillId="9" borderId="74" xfId="45" applyFont="1" applyFill="1" applyBorder="1" applyAlignment="1">
      <alignment horizontal="center" vertical="center"/>
    </xf>
    <xf numFmtId="0" fontId="28" fillId="9" borderId="123" xfId="45" applyFont="1" applyFill="1" applyBorder="1" applyAlignment="1">
      <alignment horizontal="center" vertical="center" wrapText="1"/>
    </xf>
    <xf numFmtId="0" fontId="28" fillId="9" borderId="124" xfId="45" applyFont="1" applyFill="1" applyBorder="1" applyAlignment="1">
      <alignment horizontal="center" vertical="center"/>
    </xf>
    <xf numFmtId="0" fontId="31" fillId="0" borderId="112" xfId="45" applyFont="1" applyBorder="1" applyAlignment="1">
      <alignment horizontal="center" vertical="center"/>
    </xf>
    <xf numFmtId="0" fontId="31" fillId="0" borderId="113" xfId="45" applyFont="1" applyBorder="1" applyAlignment="1">
      <alignment horizontal="center" vertical="center"/>
    </xf>
    <xf numFmtId="0" fontId="31" fillId="0" borderId="114" xfId="45" applyFont="1" applyBorder="1" applyAlignment="1">
      <alignment horizontal="center" vertical="center"/>
    </xf>
    <xf numFmtId="0" fontId="43" fillId="0" borderId="76" xfId="0" applyFont="1" applyBorder="1" applyAlignment="1" applyProtection="1">
      <alignment horizontal="left" vertical="center"/>
      <protection hidden="1"/>
    </xf>
    <xf numFmtId="0" fontId="43" fillId="0" borderId="77" xfId="0" applyFont="1" applyBorder="1" applyAlignment="1" applyProtection="1">
      <alignment horizontal="left" vertical="center"/>
      <protection hidden="1"/>
    </xf>
    <xf numFmtId="0" fontId="43" fillId="0" borderId="78" xfId="0" applyFont="1" applyBorder="1" applyAlignment="1" applyProtection="1">
      <alignment horizontal="left" vertical="center"/>
      <protection hidden="1"/>
    </xf>
    <xf numFmtId="0" fontId="43" fillId="0" borderId="115" xfId="0" applyFont="1" applyBorder="1" applyAlignment="1" applyProtection="1">
      <alignment horizontal="left" vertical="center"/>
      <protection hidden="1"/>
    </xf>
    <xf numFmtId="0" fontId="43" fillId="0" borderId="2" xfId="0" applyFont="1" applyBorder="1" applyAlignment="1" applyProtection="1">
      <alignment horizontal="left" vertical="center"/>
      <protection hidden="1"/>
    </xf>
    <xf numFmtId="0" fontId="43" fillId="0" borderId="119" xfId="0" applyFont="1" applyBorder="1" applyAlignment="1" applyProtection="1">
      <alignment horizontal="left" vertical="center"/>
      <protection hidden="1"/>
    </xf>
    <xf numFmtId="0" fontId="28" fillId="9" borderId="110" xfId="45" applyFont="1" applyFill="1" applyBorder="1" applyAlignment="1">
      <alignment horizontal="center" vertical="center"/>
    </xf>
    <xf numFmtId="0" fontId="28" fillId="9" borderId="109" xfId="45" applyFont="1" applyFill="1" applyBorder="1" applyAlignment="1">
      <alignment horizontal="center" vertical="center"/>
    </xf>
    <xf numFmtId="0" fontId="28" fillId="9" borderId="118" xfId="45" applyFont="1" applyFill="1" applyBorder="1" applyAlignment="1">
      <alignment horizontal="center" vertical="center"/>
    </xf>
    <xf numFmtId="0" fontId="34" fillId="0" borderId="0" xfId="45" applyFont="1" applyAlignment="1">
      <alignment horizontal="left" vertical="center"/>
    </xf>
    <xf numFmtId="0" fontId="28" fillId="0" borderId="15" xfId="45" applyFont="1" applyBorder="1" applyAlignment="1">
      <alignment horizontal="left" vertical="center"/>
    </xf>
    <xf numFmtId="0" fontId="28" fillId="0" borderId="13" xfId="45" applyFont="1" applyBorder="1" applyAlignment="1">
      <alignment horizontal="left" vertical="center"/>
    </xf>
    <xf numFmtId="0" fontId="28" fillId="9" borderId="105" xfId="45" applyFont="1" applyFill="1" applyBorder="1" applyAlignment="1">
      <alignment horizontal="center" vertical="center"/>
    </xf>
    <xf numFmtId="0" fontId="28" fillId="9" borderId="78" xfId="45" applyFont="1" applyFill="1" applyBorder="1" applyAlignment="1">
      <alignment horizontal="center" vertical="center"/>
    </xf>
    <xf numFmtId="0" fontId="28" fillId="9" borderId="117" xfId="45" applyFont="1" applyFill="1" applyBorder="1" applyAlignment="1">
      <alignment horizontal="center" vertical="center"/>
    </xf>
    <xf numFmtId="0" fontId="28" fillId="9" borderId="80" xfId="45" applyFont="1" applyFill="1" applyBorder="1" applyAlignment="1">
      <alignment horizontal="center" vertical="center"/>
    </xf>
    <xf numFmtId="0" fontId="28" fillId="0" borderId="105" xfId="45" applyFont="1" applyBorder="1" applyAlignment="1">
      <alignment horizontal="left" vertical="center"/>
    </xf>
    <xf numFmtId="0" fontId="28" fillId="0" borderId="78" xfId="45" applyFont="1" applyBorder="1" applyAlignment="1">
      <alignment horizontal="left" vertical="center"/>
    </xf>
    <xf numFmtId="0" fontId="28" fillId="0" borderId="3" xfId="45" applyFont="1" applyBorder="1" applyAlignment="1">
      <alignment horizontal="left" vertical="center"/>
    </xf>
    <xf numFmtId="0" fontId="28" fillId="0" borderId="73" xfId="45" applyFont="1" applyBorder="1" applyAlignment="1">
      <alignment horizontal="left" vertical="center"/>
    </xf>
    <xf numFmtId="0" fontId="28" fillId="0" borderId="117" xfId="45" applyFont="1" applyBorder="1" applyAlignment="1">
      <alignment horizontal="left" vertical="center"/>
    </xf>
    <xf numFmtId="0" fontId="28" fillId="0" borderId="80" xfId="45" applyFont="1" applyBorder="1" applyAlignment="1">
      <alignment horizontal="left" vertical="center"/>
    </xf>
    <xf numFmtId="0" fontId="28" fillId="0" borderId="21" xfId="45" applyFont="1" applyBorder="1" applyAlignment="1">
      <alignment horizontal="left" vertical="center"/>
    </xf>
    <xf numFmtId="0" fontId="28" fillId="0" borderId="23" xfId="45" applyFont="1" applyBorder="1" applyAlignment="1">
      <alignment horizontal="left" vertical="center"/>
    </xf>
    <xf numFmtId="0" fontId="28" fillId="0" borderId="105" xfId="45" applyFont="1" applyBorder="1" applyAlignment="1">
      <alignment horizontal="left" vertical="center" wrapText="1"/>
    </xf>
    <xf numFmtId="0" fontId="28" fillId="0" borderId="78" xfId="45" applyFont="1" applyBorder="1" applyAlignment="1">
      <alignment horizontal="left" vertical="center" wrapText="1"/>
    </xf>
    <xf numFmtId="41" fontId="7" fillId="0" borderId="3" xfId="35" applyFont="1" applyBorder="1" applyAlignment="1" applyProtection="1">
      <alignment horizontal="center" vertical="center"/>
      <protection hidden="1"/>
    </xf>
    <xf numFmtId="0" fontId="28" fillId="0" borderId="20" xfId="41" applyBorder="1" applyAlignment="1">
      <alignment horizontal="center"/>
    </xf>
    <xf numFmtId="0" fontId="28" fillId="0" borderId="2" xfId="41" applyBorder="1" applyAlignment="1">
      <alignment horizontal="center"/>
    </xf>
    <xf numFmtId="0" fontId="28" fillId="0" borderId="8" xfId="41" applyBorder="1" applyAlignment="1">
      <alignment horizontal="center"/>
    </xf>
    <xf numFmtId="41" fontId="7" fillId="0" borderId="20" xfId="35" applyFont="1" applyBorder="1" applyAlignment="1" applyProtection="1">
      <alignment horizontal="center" vertical="center"/>
      <protection hidden="1"/>
    </xf>
    <xf numFmtId="41" fontId="7" fillId="0" borderId="2" xfId="35" applyFont="1" applyBorder="1" applyAlignment="1" applyProtection="1">
      <alignment horizontal="center" vertical="center"/>
      <protection hidden="1"/>
    </xf>
    <xf numFmtId="41" fontId="7" fillId="0" borderId="8" xfId="35" applyFont="1" applyBorder="1" applyAlignment="1" applyProtection="1">
      <alignment horizontal="center" vertical="center"/>
      <protection hidden="1"/>
    </xf>
    <xf numFmtId="0" fontId="11" fillId="0" borderId="107" xfId="44" applyFont="1" applyBorder="1" applyAlignment="1">
      <alignment horizontal="center" vertical="center"/>
    </xf>
    <xf numFmtId="0" fontId="11" fillId="0" borderId="108" xfId="44" applyFont="1" applyBorder="1" applyAlignment="1">
      <alignment horizontal="center" vertical="center"/>
    </xf>
    <xf numFmtId="0" fontId="11" fillId="0" borderId="35" xfId="44" applyFont="1" applyBorder="1" applyAlignment="1">
      <alignment horizontal="center" vertical="center"/>
    </xf>
    <xf numFmtId="0" fontId="11" fillId="0" borderId="116" xfId="44" applyFont="1" applyBorder="1" applyAlignment="1">
      <alignment horizontal="center" vertical="center"/>
    </xf>
    <xf numFmtId="0" fontId="11" fillId="0" borderId="23" xfId="44" applyFont="1" applyBorder="1" applyAlignment="1">
      <alignment horizontal="center" vertical="center"/>
    </xf>
    <xf numFmtId="0" fontId="11" fillId="0" borderId="25" xfId="44" applyFont="1" applyBorder="1" applyAlignment="1">
      <alignment horizontal="center" vertical="center"/>
    </xf>
    <xf numFmtId="0" fontId="5" fillId="0" borderId="6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9" fillId="0" borderId="38" xfId="44" applyFont="1" applyBorder="1" applyAlignment="1">
      <alignment horizontal="center" vertical="center"/>
    </xf>
    <xf numFmtId="0" fontId="9" fillId="0" borderId="39" xfId="44" applyFont="1" applyBorder="1" applyAlignment="1">
      <alignment horizontal="center" vertical="center"/>
    </xf>
    <xf numFmtId="0" fontId="9" fillId="0" borderId="28" xfId="44" applyFont="1" applyBorder="1" applyAlignment="1">
      <alignment horizontal="center" vertical="center"/>
    </xf>
    <xf numFmtId="0" fontId="9" fillId="0" borderId="29" xfId="44" applyFont="1" applyBorder="1" applyAlignment="1">
      <alignment horizontal="center" vertical="center"/>
    </xf>
    <xf numFmtId="0" fontId="9" fillId="0" borderId="41" xfId="44" applyFont="1" applyBorder="1" applyAlignment="1">
      <alignment horizontal="center" vertical="center"/>
    </xf>
    <xf numFmtId="0" fontId="9" fillId="0" borderId="42" xfId="44" applyFont="1" applyBorder="1" applyAlignment="1">
      <alignment horizontal="center" vertical="center"/>
    </xf>
    <xf numFmtId="0" fontId="9" fillId="5" borderId="104" xfId="44" applyFont="1" applyFill="1" applyBorder="1" applyAlignment="1">
      <alignment horizontal="center" vertical="center"/>
    </xf>
    <xf numFmtId="0" fontId="9" fillId="5" borderId="101" xfId="44" applyFont="1" applyFill="1" applyBorder="1" applyAlignment="1">
      <alignment horizontal="center" vertical="center"/>
    </xf>
    <xf numFmtId="0" fontId="9" fillId="5" borderId="99" xfId="44" applyFont="1" applyFill="1" applyBorder="1" applyAlignment="1">
      <alignment horizontal="center" vertical="center"/>
    </xf>
    <xf numFmtId="0" fontId="11" fillId="0" borderId="106" xfId="44" applyFont="1" applyBorder="1" applyAlignment="1">
      <alignment horizontal="center" vertical="center"/>
    </xf>
    <xf numFmtId="0" fontId="17" fillId="0" borderId="103" xfId="44" applyFont="1" applyBorder="1" applyAlignment="1">
      <alignment horizontal="center" vertical="center"/>
    </xf>
    <xf numFmtId="0" fontId="58" fillId="0" borderId="20" xfId="0" applyFont="1" applyBorder="1" applyAlignment="1">
      <alignment horizontal="center" vertical="center" wrapText="1"/>
    </xf>
    <xf numFmtId="0" fontId="58" fillId="0" borderId="2" xfId="0" applyFont="1" applyBorder="1" applyAlignment="1">
      <alignment horizontal="center" vertical="center" wrapText="1"/>
    </xf>
    <xf numFmtId="0" fontId="44" fillId="0" borderId="0" xfId="44" applyFont="1" applyAlignment="1">
      <alignment horizontal="center" vertical="center"/>
    </xf>
    <xf numFmtId="0" fontId="24" fillId="2" borderId="89" xfId="44" applyFont="1" applyFill="1" applyBorder="1" applyAlignment="1">
      <alignment horizontal="center" vertical="center" shrinkToFit="1"/>
    </xf>
    <xf numFmtId="0" fontId="24" fillId="2" borderId="90" xfId="44" applyFont="1" applyFill="1" applyBorder="1" applyAlignment="1">
      <alignment horizontal="center" vertical="center" shrinkToFit="1"/>
    </xf>
    <xf numFmtId="0" fontId="24" fillId="2" borderId="1" xfId="44" applyFont="1" applyFill="1" applyBorder="1" applyAlignment="1">
      <alignment horizontal="left" vertical="center" shrinkToFit="1"/>
    </xf>
    <xf numFmtId="0" fontId="24" fillId="2" borderId="91" xfId="44" applyFont="1" applyFill="1" applyBorder="1" applyAlignment="1">
      <alignment horizontal="left" vertical="center" shrinkToFit="1"/>
    </xf>
    <xf numFmtId="0" fontId="9" fillId="0" borderId="76" xfId="44" applyFont="1" applyBorder="1" applyAlignment="1">
      <alignment horizontal="center" vertical="center"/>
    </xf>
    <xf numFmtId="0" fontId="9" fillId="0" borderId="77" xfId="44" applyFont="1" applyBorder="1" applyAlignment="1">
      <alignment horizontal="center" vertical="center"/>
    </xf>
    <xf numFmtId="0" fontId="9" fillId="0" borderId="0" xfId="44" applyFont="1" applyBorder="1" applyAlignment="1">
      <alignment horizontal="center" vertical="center"/>
    </xf>
    <xf numFmtId="0" fontId="13" fillId="0" borderId="105" xfId="44" applyFont="1" applyBorder="1" applyAlignment="1">
      <alignment horizontal="left" vertical="center" wrapText="1"/>
    </xf>
    <xf numFmtId="0" fontId="13" fillId="0" borderId="77" xfId="44" applyFont="1" applyBorder="1" applyAlignment="1">
      <alignment horizontal="left" vertical="center" wrapText="1"/>
    </xf>
    <xf numFmtId="0" fontId="13" fillId="0" borderId="78" xfId="44" applyFont="1" applyBorder="1" applyAlignment="1">
      <alignment horizontal="left" vertical="center" wrapText="1"/>
    </xf>
    <xf numFmtId="183" fontId="5" fillId="0" borderId="6" xfId="35" applyNumberFormat="1" applyFont="1" applyBorder="1" applyAlignment="1" applyProtection="1">
      <alignment horizontal="right" vertical="center"/>
      <protection hidden="1"/>
    </xf>
    <xf numFmtId="0" fontId="19" fillId="0" borderId="3" xfId="0" applyFont="1" applyBorder="1" applyAlignment="1" applyProtection="1">
      <alignment horizontal="center" vertical="center"/>
      <protection hidden="1"/>
    </xf>
    <xf numFmtId="0" fontId="11" fillId="0" borderId="39" xfId="0" applyFont="1" applyFill="1" applyBorder="1" applyAlignment="1" applyProtection="1">
      <alignment horizontal="center" vertical="center"/>
      <protection hidden="1"/>
    </xf>
    <xf numFmtId="0" fontId="11" fillId="0" borderId="29" xfId="0" applyFont="1" applyFill="1" applyBorder="1" applyAlignment="1" applyProtection="1">
      <alignment horizontal="center" vertical="center"/>
      <protection hidden="1"/>
    </xf>
    <xf numFmtId="0" fontId="11" fillId="0" borderId="42" xfId="0" applyFont="1" applyFill="1" applyBorder="1" applyAlignment="1" applyProtection="1">
      <alignment horizontal="center" vertical="center"/>
      <protection hidden="1"/>
    </xf>
    <xf numFmtId="0" fontId="11" fillId="0" borderId="15" xfId="0" applyFont="1" applyFill="1" applyBorder="1" applyAlignment="1" applyProtection="1">
      <alignment horizontal="center" vertical="center"/>
      <protection hidden="1"/>
    </xf>
    <xf numFmtId="0" fontId="11" fillId="0" borderId="5" xfId="0" applyFont="1" applyFill="1" applyBorder="1" applyAlignment="1" applyProtection="1">
      <alignment horizontal="center" vertical="center"/>
      <protection hidden="1"/>
    </xf>
    <xf numFmtId="0" fontId="11" fillId="0" borderId="13" xfId="0" applyFont="1" applyFill="1" applyBorder="1" applyAlignment="1" applyProtection="1">
      <alignment horizontal="center" vertical="center"/>
      <protection hidden="1"/>
    </xf>
    <xf numFmtId="0" fontId="9" fillId="0" borderId="3" xfId="0" applyFont="1" applyBorder="1" applyAlignment="1" applyProtection="1">
      <alignment horizontal="center" vertical="center"/>
      <protection hidden="1"/>
    </xf>
    <xf numFmtId="0" fontId="31" fillId="0" borderId="0" xfId="45" applyFont="1" applyAlignment="1">
      <alignment horizontal="left" vertical="center"/>
    </xf>
    <xf numFmtId="0" fontId="28" fillId="9" borderId="120" xfId="45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</cellXfs>
  <cellStyles count="118">
    <cellStyle name="??&amp;O?&amp;H?_x0008__x000f__x0007_?_x0007__x0001__x0001_" xfId="1"/>
    <cellStyle name="??&amp;O?&amp;H?_x0008_??_x0007__x0001__x0001_" xfId="2"/>
    <cellStyle name="Calc Currency (0)" xfId="3"/>
    <cellStyle name="category" xfId="4"/>
    <cellStyle name="Comma [0]_ SG&amp;A Bridge " xfId="5"/>
    <cellStyle name="comma zerodec" xfId="6"/>
    <cellStyle name="Comma_ SG&amp;A Bridge " xfId="7"/>
    <cellStyle name="Copied" xfId="8"/>
    <cellStyle name="Currency [0]_ SG&amp;A Bridge " xfId="9"/>
    <cellStyle name="Currency_ SG&amp;A Bridge " xfId="10"/>
    <cellStyle name="Currency1" xfId="11"/>
    <cellStyle name="Dollar (zero dec)" xfId="12"/>
    <cellStyle name="Entered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RevList" xfId="23"/>
    <cellStyle name="subhead" xfId="24"/>
    <cellStyle name="Subtotal" xfId="25"/>
    <cellStyle name="기본숫자" xfId="26"/>
    <cellStyle name="뒤에 오는 하이퍼링크_대치오피스텔(가실행3차-철콘변경,습식-최대연)" xfId="27"/>
    <cellStyle name="똿뗦먛귟 [0.00]_PRODUCT DETAIL Q1" xfId="28"/>
    <cellStyle name="똿뗦먛귟_PRODUCT DETAIL Q1" xfId="29"/>
    <cellStyle name="믅됞 [0.00]_PRODUCT DETAIL Q1" xfId="30"/>
    <cellStyle name="믅됞_PRODUCT DETAIL Q1" xfId="31"/>
    <cellStyle name="백분율" xfId="32" builtinId="5"/>
    <cellStyle name="백분율 2" xfId="47"/>
    <cellStyle name="뷭?_BOOKSHIP" xfId="33"/>
    <cellStyle name="쉼표" xfId="34" builtinId="3"/>
    <cellStyle name="쉼표 [0]" xfId="35" builtinId="6"/>
    <cellStyle name="쉼표 [0] 10" xfId="48"/>
    <cellStyle name="쉼표 [0] 2" xfId="49"/>
    <cellStyle name="쉼표 [0] 3" xfId="46"/>
    <cellStyle name="쉼표 10" xfId="50"/>
    <cellStyle name="쉼표 11" xfId="51"/>
    <cellStyle name="쉼표 12" xfId="52"/>
    <cellStyle name="쉼표 13" xfId="53"/>
    <cellStyle name="쉼표 14" xfId="54"/>
    <cellStyle name="쉼표 15" xfId="55"/>
    <cellStyle name="쉼표 16" xfId="56"/>
    <cellStyle name="쉼표 17" xfId="57"/>
    <cellStyle name="쉼표 18" xfId="58"/>
    <cellStyle name="쉼표 19" xfId="59"/>
    <cellStyle name="쉼표 2" xfId="60"/>
    <cellStyle name="쉼표 20" xfId="61"/>
    <cellStyle name="쉼표 21" xfId="62"/>
    <cellStyle name="쉼표 22" xfId="63"/>
    <cellStyle name="쉼표 23" xfId="64"/>
    <cellStyle name="쉼표 24" xfId="65"/>
    <cellStyle name="쉼표 25" xfId="66"/>
    <cellStyle name="쉼표 26" xfId="67"/>
    <cellStyle name="쉼표 27" xfId="68"/>
    <cellStyle name="쉼표 28" xfId="69"/>
    <cellStyle name="쉼표 29" xfId="70"/>
    <cellStyle name="쉼표 3" xfId="71"/>
    <cellStyle name="쉼표 30" xfId="72"/>
    <cellStyle name="쉼표 31" xfId="73"/>
    <cellStyle name="쉼표 32" xfId="74"/>
    <cellStyle name="쉼표 33" xfId="75"/>
    <cellStyle name="쉼표 34" xfId="76"/>
    <cellStyle name="쉼표 35" xfId="77"/>
    <cellStyle name="쉼표 4" xfId="78"/>
    <cellStyle name="쉼표 5" xfId="79"/>
    <cellStyle name="쉼표 6" xfId="80"/>
    <cellStyle name="쉼표 7" xfId="81"/>
    <cellStyle name="쉼표 8" xfId="82"/>
    <cellStyle name="쉼표 9" xfId="83"/>
    <cellStyle name="콤마 [0]_ 전기" xfId="36"/>
    <cellStyle name="콤마_ 전기" xfId="37"/>
    <cellStyle name="통화 [0]" xfId="38" builtinId="7"/>
    <cellStyle name="통화 [0] 2" xfId="84"/>
    <cellStyle name="표준" xfId="0" builtinId="0"/>
    <cellStyle name="표준 10" xfId="85"/>
    <cellStyle name="표준 11" xfId="86"/>
    <cellStyle name="표준 12" xfId="87"/>
    <cellStyle name="표준 13" xfId="88"/>
    <cellStyle name="표준 14" xfId="89"/>
    <cellStyle name="표준 15" xfId="90"/>
    <cellStyle name="표준 16" xfId="91"/>
    <cellStyle name="표준 17" xfId="92"/>
    <cellStyle name="표준 18" xfId="93"/>
    <cellStyle name="표준 19" xfId="94"/>
    <cellStyle name="표준 2" xfId="95"/>
    <cellStyle name="표준 20" xfId="96"/>
    <cellStyle name="표준 21" xfId="97"/>
    <cellStyle name="표준 22" xfId="98"/>
    <cellStyle name="표준 23" xfId="99"/>
    <cellStyle name="표준 24" xfId="100"/>
    <cellStyle name="표준 25" xfId="101"/>
    <cellStyle name="표준 26" xfId="102"/>
    <cellStyle name="표준 27" xfId="103"/>
    <cellStyle name="표준 28" xfId="104"/>
    <cellStyle name="표준 29" xfId="105"/>
    <cellStyle name="표준 3" xfId="45"/>
    <cellStyle name="표준 30" xfId="106"/>
    <cellStyle name="표준 31" xfId="107"/>
    <cellStyle name="표준 32" xfId="108"/>
    <cellStyle name="표준 33" xfId="109"/>
    <cellStyle name="표준 34" xfId="110"/>
    <cellStyle name="표준 35" xfId="111"/>
    <cellStyle name="표준 4" xfId="112"/>
    <cellStyle name="표준 5" xfId="113"/>
    <cellStyle name="표준 6" xfId="114"/>
    <cellStyle name="표준 7" xfId="115"/>
    <cellStyle name="표준 8" xfId="116"/>
    <cellStyle name="표준 9" xfId="117"/>
    <cellStyle name="標準_Akia(F）-8" xfId="39"/>
    <cellStyle name="표준_감리자지정신청(진천주거복합)" xfId="40"/>
    <cellStyle name="표준_감리자지정신청시 참고 서식" xfId="41"/>
    <cellStyle name="표준_쌍용감리(전기,통신,소방)산출내역서" xfId="42"/>
    <cellStyle name="표준_쌍용감리(전기,통신,소방)산출내역서 2" xfId="44"/>
    <cellStyle name="표준_통신감리산출내역서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externalLink" Target="externalLinks/externalLink13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8.xml"/><Relationship Id="rId34" Type="http://schemas.openxmlformats.org/officeDocument/2006/relationships/externalLink" Target="externalLinks/externalLink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0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29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1.xml"/><Relationship Id="rId32" Type="http://schemas.openxmlformats.org/officeDocument/2006/relationships/externalLink" Target="externalLinks/externalLink19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28" Type="http://schemas.openxmlformats.org/officeDocument/2006/relationships/externalLink" Target="externalLinks/externalLink15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31" Type="http://schemas.openxmlformats.org/officeDocument/2006/relationships/externalLink" Target="externalLinks/externalLink1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externalLink" Target="externalLinks/externalLink9.xml"/><Relationship Id="rId27" Type="http://schemas.openxmlformats.org/officeDocument/2006/relationships/externalLink" Target="externalLinks/externalLink14.xml"/><Relationship Id="rId30" Type="http://schemas.openxmlformats.org/officeDocument/2006/relationships/externalLink" Target="externalLinks/externalLink17.xml"/><Relationship Id="rId35" Type="http://schemas.openxmlformats.org/officeDocument/2006/relationships/externalLink" Target="externalLinks/externalLink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</xdr:colOff>
      <xdr:row>7</xdr:row>
      <xdr:rowOff>246530</xdr:rowOff>
    </xdr:from>
    <xdr:to>
      <xdr:col>11</xdr:col>
      <xdr:colOff>190500</xdr:colOff>
      <xdr:row>7</xdr:row>
      <xdr:rowOff>414618</xdr:rowOff>
    </xdr:to>
    <xdr:sp macro="" textlink="">
      <xdr:nvSpPr>
        <xdr:cNvPr id="2" name="직사각형 1"/>
        <xdr:cNvSpPr/>
      </xdr:nvSpPr>
      <xdr:spPr>
        <a:xfrm>
          <a:off x="5434854" y="1826559"/>
          <a:ext cx="2779058" cy="168088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6</xdr:col>
      <xdr:colOff>21</xdr:colOff>
      <xdr:row>8</xdr:row>
      <xdr:rowOff>246529</xdr:rowOff>
    </xdr:from>
    <xdr:to>
      <xdr:col>11</xdr:col>
      <xdr:colOff>179916</xdr:colOff>
      <xdr:row>8</xdr:row>
      <xdr:rowOff>418354</xdr:rowOff>
    </xdr:to>
    <xdr:sp macro="" textlink="">
      <xdr:nvSpPr>
        <xdr:cNvPr id="3" name="직사각형 2"/>
        <xdr:cNvSpPr/>
      </xdr:nvSpPr>
      <xdr:spPr>
        <a:xfrm>
          <a:off x="6174462" y="2263588"/>
          <a:ext cx="2028866" cy="171825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9</xdr:col>
      <xdr:colOff>190499</xdr:colOff>
      <xdr:row>14</xdr:row>
      <xdr:rowOff>224117</xdr:rowOff>
    </xdr:from>
    <xdr:to>
      <xdr:col>21</xdr:col>
      <xdr:colOff>224118</xdr:colOff>
      <xdr:row>14</xdr:row>
      <xdr:rowOff>392207</xdr:rowOff>
    </xdr:to>
    <xdr:sp macro="" textlink="">
      <xdr:nvSpPr>
        <xdr:cNvPr id="4" name="직사각형 3"/>
        <xdr:cNvSpPr/>
      </xdr:nvSpPr>
      <xdr:spPr>
        <a:xfrm>
          <a:off x="7474323" y="4818529"/>
          <a:ext cx="4471148" cy="16809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4</xdr:col>
      <xdr:colOff>11206</xdr:colOff>
      <xdr:row>12</xdr:row>
      <xdr:rowOff>212912</xdr:rowOff>
    </xdr:from>
    <xdr:to>
      <xdr:col>10</xdr:col>
      <xdr:colOff>11206</xdr:colOff>
      <xdr:row>12</xdr:row>
      <xdr:rowOff>381000</xdr:rowOff>
    </xdr:to>
    <xdr:sp macro="" textlink="">
      <xdr:nvSpPr>
        <xdr:cNvPr id="5" name="직사각형 4"/>
        <xdr:cNvSpPr/>
      </xdr:nvSpPr>
      <xdr:spPr>
        <a:xfrm>
          <a:off x="5446059" y="3978088"/>
          <a:ext cx="2218765" cy="168088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13</xdr:col>
      <xdr:colOff>10511</xdr:colOff>
      <xdr:row>15</xdr:row>
      <xdr:rowOff>224118</xdr:rowOff>
    </xdr:from>
    <xdr:to>
      <xdr:col>25</xdr:col>
      <xdr:colOff>1</xdr:colOff>
      <xdr:row>15</xdr:row>
      <xdr:rowOff>397188</xdr:rowOff>
    </xdr:to>
    <xdr:sp macro="" textlink="">
      <xdr:nvSpPr>
        <xdr:cNvPr id="6" name="직사각형 5"/>
        <xdr:cNvSpPr/>
      </xdr:nvSpPr>
      <xdr:spPr>
        <a:xfrm>
          <a:off x="8773511" y="5233147"/>
          <a:ext cx="4427019" cy="17307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20</xdr:col>
      <xdr:colOff>8699</xdr:colOff>
      <xdr:row>18</xdr:row>
      <xdr:rowOff>224118</xdr:rowOff>
    </xdr:from>
    <xdr:to>
      <xdr:col>32</xdr:col>
      <xdr:colOff>168088</xdr:colOff>
      <xdr:row>18</xdr:row>
      <xdr:rowOff>392206</xdr:rowOff>
    </xdr:to>
    <xdr:sp macro="" textlink="">
      <xdr:nvSpPr>
        <xdr:cNvPr id="7" name="직사각형 6"/>
        <xdr:cNvSpPr/>
      </xdr:nvSpPr>
      <xdr:spPr>
        <a:xfrm>
          <a:off x="11360258" y="6477000"/>
          <a:ext cx="4596918" cy="168088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22</xdr:col>
      <xdr:colOff>10583</xdr:colOff>
      <xdr:row>19</xdr:row>
      <xdr:rowOff>227854</xdr:rowOff>
    </xdr:from>
    <xdr:to>
      <xdr:col>32</xdr:col>
      <xdr:colOff>347383</xdr:colOff>
      <xdr:row>19</xdr:row>
      <xdr:rowOff>381000</xdr:rowOff>
    </xdr:to>
    <xdr:sp macro="" textlink="">
      <xdr:nvSpPr>
        <xdr:cNvPr id="8" name="직사각형 7"/>
        <xdr:cNvSpPr/>
      </xdr:nvSpPr>
      <xdr:spPr>
        <a:xfrm>
          <a:off x="12101730" y="6895354"/>
          <a:ext cx="4034741" cy="153146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10</xdr:col>
      <xdr:colOff>357568</xdr:colOff>
      <xdr:row>20</xdr:row>
      <xdr:rowOff>208043</xdr:rowOff>
    </xdr:from>
    <xdr:to>
      <xdr:col>32</xdr:col>
      <xdr:colOff>347382</xdr:colOff>
      <xdr:row>20</xdr:row>
      <xdr:rowOff>392205</xdr:rowOff>
    </xdr:to>
    <xdr:sp macro="" textlink="">
      <xdr:nvSpPr>
        <xdr:cNvPr id="9" name="직사각형 8"/>
        <xdr:cNvSpPr/>
      </xdr:nvSpPr>
      <xdr:spPr>
        <a:xfrm>
          <a:off x="8011186" y="7290161"/>
          <a:ext cx="8125284" cy="18416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17</xdr:col>
      <xdr:colOff>14320</xdr:colOff>
      <xdr:row>21</xdr:row>
      <xdr:rowOff>235325</xdr:rowOff>
    </xdr:from>
    <xdr:to>
      <xdr:col>32</xdr:col>
      <xdr:colOff>341780</xdr:colOff>
      <xdr:row>21</xdr:row>
      <xdr:rowOff>396565</xdr:rowOff>
    </xdr:to>
    <xdr:sp macro="" textlink="">
      <xdr:nvSpPr>
        <xdr:cNvPr id="10" name="직사각형 9"/>
        <xdr:cNvSpPr/>
      </xdr:nvSpPr>
      <xdr:spPr>
        <a:xfrm>
          <a:off x="10256496" y="7732060"/>
          <a:ext cx="5874372" cy="16124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26</xdr:col>
      <xdr:colOff>10588</xdr:colOff>
      <xdr:row>9</xdr:row>
      <xdr:rowOff>246531</xdr:rowOff>
    </xdr:from>
    <xdr:to>
      <xdr:col>31</xdr:col>
      <xdr:colOff>0</xdr:colOff>
      <xdr:row>9</xdr:row>
      <xdr:rowOff>409639</xdr:rowOff>
    </xdr:to>
    <xdr:sp macro="" textlink="">
      <xdr:nvSpPr>
        <xdr:cNvPr id="11" name="직사각형 10"/>
        <xdr:cNvSpPr/>
      </xdr:nvSpPr>
      <xdr:spPr>
        <a:xfrm>
          <a:off x="13580912" y="2700619"/>
          <a:ext cx="1838382" cy="163108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27</xdr:col>
      <xdr:colOff>201705</xdr:colOff>
      <xdr:row>10</xdr:row>
      <xdr:rowOff>246529</xdr:rowOff>
    </xdr:from>
    <xdr:to>
      <xdr:col>30</xdr:col>
      <xdr:colOff>369793</xdr:colOff>
      <xdr:row>10</xdr:row>
      <xdr:rowOff>418978</xdr:rowOff>
    </xdr:to>
    <xdr:sp macro="" textlink="">
      <xdr:nvSpPr>
        <xdr:cNvPr id="12" name="직사각형 11"/>
        <xdr:cNvSpPr/>
      </xdr:nvSpPr>
      <xdr:spPr>
        <a:xfrm>
          <a:off x="14141823" y="3137647"/>
          <a:ext cx="1277470" cy="172449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28</xdr:col>
      <xdr:colOff>1</xdr:colOff>
      <xdr:row>11</xdr:row>
      <xdr:rowOff>235323</xdr:rowOff>
    </xdr:from>
    <xdr:to>
      <xdr:col>32</xdr:col>
      <xdr:colOff>224118</xdr:colOff>
      <xdr:row>11</xdr:row>
      <xdr:rowOff>403412</xdr:rowOff>
    </xdr:to>
    <xdr:sp macro="" textlink="">
      <xdr:nvSpPr>
        <xdr:cNvPr id="13" name="직사각형 12"/>
        <xdr:cNvSpPr/>
      </xdr:nvSpPr>
      <xdr:spPr>
        <a:xfrm>
          <a:off x="13312589" y="3563470"/>
          <a:ext cx="1703294" cy="168089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21</xdr:col>
      <xdr:colOff>10584</xdr:colOff>
      <xdr:row>22</xdr:row>
      <xdr:rowOff>219066</xdr:rowOff>
    </xdr:from>
    <xdr:to>
      <xdr:col>26</xdr:col>
      <xdr:colOff>0</xdr:colOff>
      <xdr:row>22</xdr:row>
      <xdr:rowOff>384114</xdr:rowOff>
    </xdr:to>
    <xdr:sp macro="" textlink="">
      <xdr:nvSpPr>
        <xdr:cNvPr id="14" name="직사각형 13"/>
        <xdr:cNvSpPr/>
      </xdr:nvSpPr>
      <xdr:spPr>
        <a:xfrm>
          <a:off x="11731937" y="8130419"/>
          <a:ext cx="1838387" cy="165048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8</xdr:col>
      <xdr:colOff>618</xdr:colOff>
      <xdr:row>13</xdr:row>
      <xdr:rowOff>224118</xdr:rowOff>
    </xdr:from>
    <xdr:to>
      <xdr:col>11</xdr:col>
      <xdr:colOff>222250</xdr:colOff>
      <xdr:row>13</xdr:row>
      <xdr:rowOff>387225</xdr:rowOff>
    </xdr:to>
    <xdr:sp macro="" textlink="">
      <xdr:nvSpPr>
        <xdr:cNvPr id="15" name="직사각형 14"/>
        <xdr:cNvSpPr/>
      </xdr:nvSpPr>
      <xdr:spPr>
        <a:xfrm>
          <a:off x="6914647" y="4403912"/>
          <a:ext cx="1331015" cy="163107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19</xdr:col>
      <xdr:colOff>10598</xdr:colOff>
      <xdr:row>16</xdr:row>
      <xdr:rowOff>224119</xdr:rowOff>
    </xdr:from>
    <xdr:to>
      <xdr:col>29</xdr:col>
      <xdr:colOff>1</xdr:colOff>
      <xdr:row>16</xdr:row>
      <xdr:rowOff>392207</xdr:rowOff>
    </xdr:to>
    <xdr:sp macro="" textlink="">
      <xdr:nvSpPr>
        <xdr:cNvPr id="16" name="직사각형 15"/>
        <xdr:cNvSpPr/>
      </xdr:nvSpPr>
      <xdr:spPr>
        <a:xfrm>
          <a:off x="10992363" y="5647766"/>
          <a:ext cx="3687344" cy="168088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22</xdr:col>
      <xdr:colOff>368532</xdr:colOff>
      <xdr:row>17</xdr:row>
      <xdr:rowOff>224117</xdr:rowOff>
    </xdr:from>
    <xdr:to>
      <xdr:col>32</xdr:col>
      <xdr:colOff>190500</xdr:colOff>
      <xdr:row>17</xdr:row>
      <xdr:rowOff>392206</xdr:rowOff>
    </xdr:to>
    <xdr:sp macro="" textlink="">
      <xdr:nvSpPr>
        <xdr:cNvPr id="17" name="직사각형 16"/>
        <xdr:cNvSpPr/>
      </xdr:nvSpPr>
      <xdr:spPr>
        <a:xfrm>
          <a:off x="12459679" y="6062382"/>
          <a:ext cx="3519909" cy="168089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9</xdr:col>
      <xdr:colOff>201706</xdr:colOff>
      <xdr:row>23</xdr:row>
      <xdr:rowOff>237814</xdr:rowOff>
    </xdr:from>
    <xdr:to>
      <xdr:col>32</xdr:col>
      <xdr:colOff>347383</xdr:colOff>
      <xdr:row>23</xdr:row>
      <xdr:rowOff>403411</xdr:rowOff>
    </xdr:to>
    <xdr:sp macro="" textlink="">
      <xdr:nvSpPr>
        <xdr:cNvPr id="18" name="직사각형 17"/>
        <xdr:cNvSpPr/>
      </xdr:nvSpPr>
      <xdr:spPr>
        <a:xfrm>
          <a:off x="7485530" y="8563785"/>
          <a:ext cx="8650941" cy="165597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10</xdr:col>
      <xdr:colOff>201706</xdr:colOff>
      <xdr:row>24</xdr:row>
      <xdr:rowOff>224118</xdr:rowOff>
    </xdr:from>
    <xdr:to>
      <xdr:col>32</xdr:col>
      <xdr:colOff>352363</xdr:colOff>
      <xdr:row>24</xdr:row>
      <xdr:rowOff>403413</xdr:rowOff>
    </xdr:to>
    <xdr:sp macro="" textlink="">
      <xdr:nvSpPr>
        <xdr:cNvPr id="19" name="직사각형 18"/>
        <xdr:cNvSpPr/>
      </xdr:nvSpPr>
      <xdr:spPr>
        <a:xfrm>
          <a:off x="7855324" y="8975912"/>
          <a:ext cx="8286127" cy="179295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10</xdr:col>
      <xdr:colOff>224117</xdr:colOff>
      <xdr:row>25</xdr:row>
      <xdr:rowOff>212912</xdr:rowOff>
    </xdr:from>
    <xdr:to>
      <xdr:col>32</xdr:col>
      <xdr:colOff>352985</xdr:colOff>
      <xdr:row>25</xdr:row>
      <xdr:rowOff>392207</xdr:rowOff>
    </xdr:to>
    <xdr:sp macro="" textlink="">
      <xdr:nvSpPr>
        <xdr:cNvPr id="20" name="직사각형 19"/>
        <xdr:cNvSpPr/>
      </xdr:nvSpPr>
      <xdr:spPr>
        <a:xfrm>
          <a:off x="7877735" y="9390530"/>
          <a:ext cx="8264338" cy="179295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201706</xdr:colOff>
      <xdr:row>8</xdr:row>
      <xdr:rowOff>268941</xdr:rowOff>
    </xdr:from>
    <xdr:to>
      <xdr:col>25</xdr:col>
      <xdr:colOff>347383</xdr:colOff>
      <xdr:row>8</xdr:row>
      <xdr:rowOff>414618</xdr:rowOff>
    </xdr:to>
    <xdr:sp macro="" textlink="">
      <xdr:nvSpPr>
        <xdr:cNvPr id="2" name="직사각형 1"/>
        <xdr:cNvSpPr/>
      </xdr:nvSpPr>
      <xdr:spPr>
        <a:xfrm>
          <a:off x="10264588" y="2073088"/>
          <a:ext cx="2364442" cy="145677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21</xdr:col>
      <xdr:colOff>0</xdr:colOff>
      <xdr:row>9</xdr:row>
      <xdr:rowOff>291353</xdr:rowOff>
    </xdr:from>
    <xdr:to>
      <xdr:col>27</xdr:col>
      <xdr:colOff>11206</xdr:colOff>
      <xdr:row>9</xdr:row>
      <xdr:rowOff>414618</xdr:rowOff>
    </xdr:to>
    <xdr:sp macro="" textlink="">
      <xdr:nvSpPr>
        <xdr:cNvPr id="3" name="직사각형 2"/>
        <xdr:cNvSpPr/>
      </xdr:nvSpPr>
      <xdr:spPr>
        <a:xfrm>
          <a:off x="10802471" y="2532529"/>
          <a:ext cx="2229970" cy="123265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3</xdr:col>
      <xdr:colOff>1</xdr:colOff>
      <xdr:row>19</xdr:row>
      <xdr:rowOff>235323</xdr:rowOff>
    </xdr:from>
    <xdr:to>
      <xdr:col>31</xdr:col>
      <xdr:colOff>358588</xdr:colOff>
      <xdr:row>19</xdr:row>
      <xdr:rowOff>392206</xdr:rowOff>
    </xdr:to>
    <xdr:sp macro="" textlink="">
      <xdr:nvSpPr>
        <xdr:cNvPr id="4" name="직사각형 3"/>
        <xdr:cNvSpPr/>
      </xdr:nvSpPr>
      <xdr:spPr>
        <a:xfrm>
          <a:off x="4146177" y="6712323"/>
          <a:ext cx="10712823" cy="156883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18</xdr:col>
      <xdr:colOff>168089</xdr:colOff>
      <xdr:row>10</xdr:row>
      <xdr:rowOff>291353</xdr:rowOff>
    </xdr:from>
    <xdr:to>
      <xdr:col>28</xdr:col>
      <xdr:colOff>246530</xdr:colOff>
      <xdr:row>10</xdr:row>
      <xdr:rowOff>414619</xdr:rowOff>
    </xdr:to>
    <xdr:sp macro="" textlink="">
      <xdr:nvSpPr>
        <xdr:cNvPr id="5" name="직사각형 4"/>
        <xdr:cNvSpPr/>
      </xdr:nvSpPr>
      <xdr:spPr>
        <a:xfrm>
          <a:off x="9861177" y="2969559"/>
          <a:ext cx="3776382" cy="123266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15</xdr:col>
      <xdr:colOff>231962</xdr:colOff>
      <xdr:row>11</xdr:row>
      <xdr:rowOff>280148</xdr:rowOff>
    </xdr:from>
    <xdr:to>
      <xdr:col>28</xdr:col>
      <xdr:colOff>212912</xdr:colOff>
      <xdr:row>11</xdr:row>
      <xdr:rowOff>414620</xdr:rowOff>
    </xdr:to>
    <xdr:sp macro="" textlink="">
      <xdr:nvSpPr>
        <xdr:cNvPr id="6" name="직사각형 5"/>
        <xdr:cNvSpPr/>
      </xdr:nvSpPr>
      <xdr:spPr>
        <a:xfrm>
          <a:off x="8815668" y="3395383"/>
          <a:ext cx="4788273" cy="134472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10</xdr:col>
      <xdr:colOff>358589</xdr:colOff>
      <xdr:row>13</xdr:row>
      <xdr:rowOff>267004</xdr:rowOff>
    </xdr:from>
    <xdr:to>
      <xdr:col>31</xdr:col>
      <xdr:colOff>347383</xdr:colOff>
      <xdr:row>13</xdr:row>
      <xdr:rowOff>392207</xdr:rowOff>
    </xdr:to>
    <xdr:sp macro="" textlink="">
      <xdr:nvSpPr>
        <xdr:cNvPr id="7" name="직사각형 6"/>
        <xdr:cNvSpPr/>
      </xdr:nvSpPr>
      <xdr:spPr>
        <a:xfrm>
          <a:off x="7093324" y="4256298"/>
          <a:ext cx="7754471" cy="125203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8</xdr:col>
      <xdr:colOff>190499</xdr:colOff>
      <xdr:row>14</xdr:row>
      <xdr:rowOff>273543</xdr:rowOff>
    </xdr:from>
    <xdr:to>
      <xdr:col>10</xdr:col>
      <xdr:colOff>358588</xdr:colOff>
      <xdr:row>14</xdr:row>
      <xdr:rowOff>381001</xdr:rowOff>
    </xdr:to>
    <xdr:sp macro="" textlink="">
      <xdr:nvSpPr>
        <xdr:cNvPr id="8" name="직사각형 7"/>
        <xdr:cNvSpPr/>
      </xdr:nvSpPr>
      <xdr:spPr>
        <a:xfrm>
          <a:off x="6185646" y="4677455"/>
          <a:ext cx="907677" cy="107458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21</xdr:col>
      <xdr:colOff>159872</xdr:colOff>
      <xdr:row>14</xdr:row>
      <xdr:rowOff>255176</xdr:rowOff>
    </xdr:from>
    <xdr:to>
      <xdr:col>27</xdr:col>
      <xdr:colOff>137642</xdr:colOff>
      <xdr:row>14</xdr:row>
      <xdr:rowOff>380067</xdr:rowOff>
    </xdr:to>
    <xdr:sp macro="" textlink="">
      <xdr:nvSpPr>
        <xdr:cNvPr id="9" name="직사각형 8"/>
        <xdr:cNvSpPr/>
      </xdr:nvSpPr>
      <xdr:spPr>
        <a:xfrm>
          <a:off x="10962343" y="4659088"/>
          <a:ext cx="2196534" cy="124891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24</xdr:col>
      <xdr:colOff>179294</xdr:colOff>
      <xdr:row>15</xdr:row>
      <xdr:rowOff>246531</xdr:rowOff>
    </xdr:from>
    <xdr:to>
      <xdr:col>28</xdr:col>
      <xdr:colOff>358589</xdr:colOff>
      <xdr:row>15</xdr:row>
      <xdr:rowOff>381001</xdr:rowOff>
    </xdr:to>
    <xdr:sp macro="" textlink="">
      <xdr:nvSpPr>
        <xdr:cNvPr id="10" name="직사각형 9"/>
        <xdr:cNvSpPr/>
      </xdr:nvSpPr>
      <xdr:spPr>
        <a:xfrm>
          <a:off x="12091147" y="5065060"/>
          <a:ext cx="1658471" cy="134470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19</xdr:col>
      <xdr:colOff>245722</xdr:colOff>
      <xdr:row>16</xdr:row>
      <xdr:rowOff>253247</xdr:rowOff>
    </xdr:from>
    <xdr:to>
      <xdr:col>28</xdr:col>
      <xdr:colOff>23472</xdr:colOff>
      <xdr:row>16</xdr:row>
      <xdr:rowOff>380254</xdr:rowOff>
    </xdr:to>
    <xdr:sp macro="" textlink="">
      <xdr:nvSpPr>
        <xdr:cNvPr id="11" name="직사각형 10"/>
        <xdr:cNvSpPr/>
      </xdr:nvSpPr>
      <xdr:spPr>
        <a:xfrm>
          <a:off x="10308604" y="5486394"/>
          <a:ext cx="3105897" cy="127007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20</xdr:col>
      <xdr:colOff>179295</xdr:colOff>
      <xdr:row>17</xdr:row>
      <xdr:rowOff>258103</xdr:rowOff>
    </xdr:from>
    <xdr:to>
      <xdr:col>28</xdr:col>
      <xdr:colOff>194734</xdr:colOff>
      <xdr:row>17</xdr:row>
      <xdr:rowOff>381001</xdr:rowOff>
    </xdr:to>
    <xdr:sp macro="" textlink="">
      <xdr:nvSpPr>
        <xdr:cNvPr id="12" name="직사각형 11"/>
        <xdr:cNvSpPr/>
      </xdr:nvSpPr>
      <xdr:spPr>
        <a:xfrm>
          <a:off x="10611971" y="5905868"/>
          <a:ext cx="2973792" cy="122898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24</xdr:col>
      <xdr:colOff>11206</xdr:colOff>
      <xdr:row>18</xdr:row>
      <xdr:rowOff>229750</xdr:rowOff>
    </xdr:from>
    <xdr:to>
      <xdr:col>30</xdr:col>
      <xdr:colOff>347382</xdr:colOff>
      <xdr:row>18</xdr:row>
      <xdr:rowOff>369793</xdr:rowOff>
    </xdr:to>
    <xdr:sp macro="" textlink="">
      <xdr:nvSpPr>
        <xdr:cNvPr id="13" name="직사각형 12"/>
        <xdr:cNvSpPr/>
      </xdr:nvSpPr>
      <xdr:spPr>
        <a:xfrm>
          <a:off x="11923059" y="6292132"/>
          <a:ext cx="2554941" cy="140043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3</xdr:col>
      <xdr:colOff>11206</xdr:colOff>
      <xdr:row>20</xdr:row>
      <xdr:rowOff>224117</xdr:rowOff>
    </xdr:from>
    <xdr:to>
      <xdr:col>10</xdr:col>
      <xdr:colOff>246530</xdr:colOff>
      <xdr:row>20</xdr:row>
      <xdr:rowOff>392205</xdr:rowOff>
    </xdr:to>
    <xdr:sp macro="" textlink="">
      <xdr:nvSpPr>
        <xdr:cNvPr id="14" name="직사각형 13"/>
        <xdr:cNvSpPr/>
      </xdr:nvSpPr>
      <xdr:spPr>
        <a:xfrm>
          <a:off x="4157382" y="7115735"/>
          <a:ext cx="2823883" cy="168088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25</xdr:col>
      <xdr:colOff>11206</xdr:colOff>
      <xdr:row>20</xdr:row>
      <xdr:rowOff>235323</xdr:rowOff>
    </xdr:from>
    <xdr:to>
      <xdr:col>31</xdr:col>
      <xdr:colOff>201706</xdr:colOff>
      <xdr:row>20</xdr:row>
      <xdr:rowOff>392205</xdr:rowOff>
    </xdr:to>
    <xdr:sp macro="" textlink="">
      <xdr:nvSpPr>
        <xdr:cNvPr id="15" name="직사각형 14"/>
        <xdr:cNvSpPr/>
      </xdr:nvSpPr>
      <xdr:spPr>
        <a:xfrm>
          <a:off x="12292853" y="7126941"/>
          <a:ext cx="2409265" cy="15688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9</xdr:col>
      <xdr:colOff>358588</xdr:colOff>
      <xdr:row>21</xdr:row>
      <xdr:rowOff>235324</xdr:rowOff>
    </xdr:from>
    <xdr:to>
      <xdr:col>31</xdr:col>
      <xdr:colOff>347382</xdr:colOff>
      <xdr:row>21</xdr:row>
      <xdr:rowOff>392207</xdr:rowOff>
    </xdr:to>
    <xdr:sp macro="" textlink="">
      <xdr:nvSpPr>
        <xdr:cNvPr id="16" name="직사각형 15"/>
        <xdr:cNvSpPr/>
      </xdr:nvSpPr>
      <xdr:spPr>
        <a:xfrm>
          <a:off x="6723529" y="7541559"/>
          <a:ext cx="8124265" cy="156883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9</xdr:col>
      <xdr:colOff>156883</xdr:colOff>
      <xdr:row>22</xdr:row>
      <xdr:rowOff>235323</xdr:rowOff>
    </xdr:from>
    <xdr:to>
      <xdr:col>31</xdr:col>
      <xdr:colOff>347382</xdr:colOff>
      <xdr:row>22</xdr:row>
      <xdr:rowOff>403412</xdr:rowOff>
    </xdr:to>
    <xdr:sp macro="" textlink="">
      <xdr:nvSpPr>
        <xdr:cNvPr id="17" name="직사각형 16"/>
        <xdr:cNvSpPr/>
      </xdr:nvSpPr>
      <xdr:spPr>
        <a:xfrm>
          <a:off x="6521824" y="7956176"/>
          <a:ext cx="8325970" cy="168089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9</xdr:col>
      <xdr:colOff>179294</xdr:colOff>
      <xdr:row>23</xdr:row>
      <xdr:rowOff>235325</xdr:rowOff>
    </xdr:from>
    <xdr:to>
      <xdr:col>31</xdr:col>
      <xdr:colOff>358588</xdr:colOff>
      <xdr:row>23</xdr:row>
      <xdr:rowOff>392207</xdr:rowOff>
    </xdr:to>
    <xdr:sp macro="" textlink="">
      <xdr:nvSpPr>
        <xdr:cNvPr id="18" name="직사각형 17"/>
        <xdr:cNvSpPr/>
      </xdr:nvSpPr>
      <xdr:spPr>
        <a:xfrm>
          <a:off x="6544235" y="8393207"/>
          <a:ext cx="8314765" cy="15688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10</xdr:col>
      <xdr:colOff>11206</xdr:colOff>
      <xdr:row>12</xdr:row>
      <xdr:rowOff>289416</xdr:rowOff>
    </xdr:from>
    <xdr:to>
      <xdr:col>31</xdr:col>
      <xdr:colOff>22410</xdr:colOff>
      <xdr:row>12</xdr:row>
      <xdr:rowOff>414619</xdr:rowOff>
    </xdr:to>
    <xdr:sp macro="" textlink="">
      <xdr:nvSpPr>
        <xdr:cNvPr id="19" name="직사각형 18"/>
        <xdr:cNvSpPr/>
      </xdr:nvSpPr>
      <xdr:spPr>
        <a:xfrm>
          <a:off x="6745941" y="3841681"/>
          <a:ext cx="7776881" cy="125203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HKDATA\DATA\XLS\&#51452;&#51088;&#47308;&#49892;\&#51204;&#52404;-RE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HKDATA\DATA\XLS\&#51077;&#52272;\MODULE\&#49688;&#50896;2&#52264;b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7928;&#49436;&#54632;\&#51088;&#47308;&#49892;\&#49892;&#54665;&#50696;&#49328;\&#52285;&#46041;\&#52285;&#46041;&#49892;&#54665;\ZLHK\DATA\&#47925;&#54788;&#4753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HKDATA\DATA\XLS\&#51452;&#51088;&#47308;&#49892;\&#44264;&#51312;&#51088;&#473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\MY%20DOCUMENTS\EXCDATA\cash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(&#51452;)&#46041;&#50864;E&amp;C%20&#51204;&#44592;&#44048;&#47532;&#48512;\&#44204;%20%20&#51201;%20%20&#49436;%20(&#23609;)\99-25-01-1.%20&#47785;&#54252;%20&#50725;&#50516;&#51648;&#44396;%20&#44277;&#46041;%201,2&#48660;&#47085;%20&#48512;&#50689;&#50500;&#54028;&#53944;%20(&#51204;&#44592;.&#53685;&#49888;.&#49548;&#48169;)05.03.21%20-%20&#49888;&#48277;&#51201;&#50857;\&#44204;&#51201;&#49436;(&#49345;&#51452;.&#48708;&#49345;&#51452;)\&#44204;&#51201;&#49436;(&#49892;&#48708;&#51221;&#50529;&#44032;&#49328;&#48169;&#49885;)-&#49328;&#51088;&#48512;&#44256;&#49884;%20&#51228;2005-7&#54840;%2005.04.01.&#49884;&#54665;\&#49548;&#48169;&#44048;&#47532;&#45824;&#44032;%20&#44228;&#4932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53440;&#52280;&#44256;&#49324;&#54637;\&#49548;&#48169;&#44048;&#47532;&#45824;&#44032;%20&#44228;&#493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woo\Public\(&#51452;)&#46041;&#50864;E&amp;C%20&#51204;&#44592;&#44048;&#47532;&#48512;\&#44204;%20%20&#51201;%20%20&#49436;%20(&#23609;)\99-25-01.%20&#51204;&#44592;&#44048;&#47532;&#48708;(&#50577;&#49885;)%20&#51228;2005-7&#54840;%20&#51201;&#50857;(&#51204;&#44592;.&#53685;&#49888;.&#49548;&#48169;)%2005.04.01\&#51649;&#51217;&#44221;&#48708;(&#52264;&#47049;&#48708;.&#49324;&#47924;&#50896;&#44553;&#47308;.&#46020;&#49436;&#51064;&#49604;&#48708;%20&#54252;&#54632;)\&#44204;&#51201;&#49436;\&#49548;&#48169;&#44048;&#47532;&#45824;&#44032;%20&#44228;&#493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352;%20&#54260;&#45908;%20(3)\&#44048;&#47532;&#44288;&#47144;(&#49884;&#52397;&#50577;&#49885;&#54801;&#51032;)\&#44148;&#52629;\&#44592;&#53440;&#52280;&#44256;&#49324;&#54637;\&#49548;&#48169;&#44048;&#47532;&#45824;&#44032;%20&#44228;&#4932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(&#51452;)&#46041;&#50864;E&amp;C%20&#51204;&#44592;&#44048;&#47532;&#48512;\&#44204;%20%20&#51201;%20%20&#49436;%20(&#23609;)\99-25-01-2.%20(&#51452;)&#49752;&#46972;&#51064;(&#51204;&#44592;.&#53685;&#49888;.&#49548;&#48169;)05.03.22%20-%20&#49888;&#48277;&#51201;&#50857;\&#44204;&#51201;&#49436;\&#44204;&#51201;&#49436;(&#51221;&#50529;&#51201;&#49328;&#48169;&#49885;)-&#49328;&#51088;&#48512;&#44256;&#49884;%20&#51228;2005-7&#54840;%2005.04.01.&#49884;&#54665;\&#49548;&#48169;&#44048;&#47532;&#45824;&#44032;%20&#44228;&#4932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(&#51452;)&#46041;&#50864;E&amp;C%20&#51204;&#44592;&#44048;&#47532;&#48512;\&#44204;%20%20&#51201;%20%20&#49436;%20(&#23609;)\99-25-01-2.%20(&#51452;)&#49752;&#46972;&#51064;(&#51204;&#44592;.&#53685;&#49888;.&#49548;&#48169;)05.03.22%20-%20&#49888;&#48277;&#51201;&#50857;\&#44204;&#51201;&#49436;\&#44204;&#51201;&#49436;(&#51221;&#50529;&#51201;&#49328;&#48169;&#49885;)-&#49328;&#51088;&#48512;&#44256;&#49884;%20&#51228;2005-7&#54840;%2005.04.01.&#49884;&#54665;\&#49548;&#48169;&#44048;&#47532;&#45824;&#44032;%20&#44228;&#493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\XLS\&#51077;&#52272;\&#49888;&#53804;&#48512;&#4582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HKDATA\DATA\XLS\&#51452;&#51088;&#47308;&#49892;\&#49892;&#54665;&#45824;&#4870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HKDATA\DATA\XLS\&#51452;&#51088;&#47308;&#49892;\&#44277;&#51333;&#45824;&#4870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4788;&#51109;&#48324;%20&#54788;&#54889;\&#51652;&#54665;&#54788;&#51109;\&#44277;&#46041;&#51452;&#53469;\8.&#50689;&#51333;&#54616;&#45720;&#46020;&#49884;\&#44048;&#47532;&#48708;%20&#49328;&#52636;\&#44048;&#47532;&#48708;%20&#49328;&#52636;\16.07.12%20&#44048;&#47532;&#48708;&#49328;&#52636;&#45236;&#50669;(&#44148;&#52629;,&#51204;&#44592;)-&#50689;&#51333;%20-%20&#51089;&#49457;&#50857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전체-REC"/>
    </sheetNames>
    <definedNames>
      <definedName name="[행열변환_1].행열변환_1"/>
      <definedName name="[행열변환_2].행열변환_2"/>
      <definedName name="[행열변환_3].행열변환_3"/>
      <definedName name="[행열변환_4].행열변환_4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묵현리"/>
    </sheetNames>
    <definedNames>
      <definedName name="Macro1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Sheet1"/>
      <sheetName val="Sheet1 (2)"/>
      <sheetName val="Sheet1 (3)"/>
      <sheetName val="의정부돈"/>
      <sheetName val="잠실CASH"/>
      <sheetName val="사업개요"/>
      <sheetName val="Sheet3"/>
      <sheetName val="Sheet4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동우아산"/>
      <sheetName val="사업개요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  <sheetName val="소방감리대가 계산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G1">
            <v>0.45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G1">
            <v>0.45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</sheetNames>
    <definedNames>
      <definedName name="원위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실행대비"/>
    </sheetNames>
    <definedNames>
      <definedName name="행열변환_3.행열변환_3" refersTo="#REF!"/>
    </defined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공종대비"/>
    </sheetNames>
    <definedNames>
      <definedName name="행열변환_4.행열변환_4"/>
    </defined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입력"/>
      <sheetName val="1개요(건축)"/>
      <sheetName val="2산출서(건축)"/>
      <sheetName val="건축감리비산출금액"/>
      <sheetName val="산출총괄표(건축)"/>
      <sheetName val="구성현황표(건축)"/>
      <sheetName val="6정보통신"/>
      <sheetName val=" 7소방"/>
      <sheetName val="공정표(건축)"/>
      <sheetName val="요약"/>
      <sheetName val="1개요(전기)-보류"/>
      <sheetName val="2전기감리산출내역서"/>
      <sheetName val="3산출총괄표(전기)"/>
      <sheetName val="4구성현황표(전기)"/>
      <sheetName val="5공정표(전기)-1"/>
      <sheetName val="공사비구성비율"/>
    </sheetNames>
    <sheetDataSet>
      <sheetData sheetId="0">
        <row r="3">
          <cell r="B3" t="str">
            <v>영종하늘도시 화성파크드림</v>
          </cell>
        </row>
      </sheetData>
      <sheetData sheetId="1" refreshError="1"/>
      <sheetData sheetId="2" refreshError="1"/>
      <sheetData sheetId="3" refreshError="1"/>
      <sheetData sheetId="4">
        <row r="5">
          <cell r="G5">
            <v>0</v>
          </cell>
        </row>
        <row r="24">
          <cell r="E24">
            <v>1</v>
          </cell>
        </row>
      </sheetData>
      <sheetData sheetId="5">
        <row r="5">
          <cell r="F5">
            <v>0</v>
          </cell>
          <cell r="G5">
            <v>0</v>
          </cell>
        </row>
        <row r="6">
          <cell r="F6">
            <v>0</v>
          </cell>
          <cell r="G6">
            <v>0</v>
          </cell>
        </row>
        <row r="7">
          <cell r="F7">
            <v>0</v>
          </cell>
          <cell r="G7">
            <v>0</v>
          </cell>
        </row>
        <row r="8">
          <cell r="F8">
            <v>0</v>
          </cell>
          <cell r="G8">
            <v>0</v>
          </cell>
        </row>
        <row r="9">
          <cell r="F9">
            <v>0</v>
          </cell>
          <cell r="G9">
            <v>0</v>
          </cell>
        </row>
        <row r="10">
          <cell r="F10">
            <v>0</v>
          </cell>
          <cell r="G10">
            <v>0</v>
          </cell>
        </row>
        <row r="11">
          <cell r="F11">
            <v>0</v>
          </cell>
          <cell r="G11">
            <v>0</v>
          </cell>
        </row>
        <row r="12">
          <cell r="F12">
            <v>0</v>
          </cell>
          <cell r="G12">
            <v>0</v>
          </cell>
        </row>
        <row r="13">
          <cell r="F13">
            <v>0</v>
          </cell>
          <cell r="G13">
            <v>0</v>
          </cell>
        </row>
        <row r="14">
          <cell r="F14">
            <v>0</v>
          </cell>
          <cell r="G14">
            <v>0</v>
          </cell>
        </row>
        <row r="15">
          <cell r="F15">
            <v>0</v>
          </cell>
          <cell r="G15">
            <v>0</v>
          </cell>
        </row>
        <row r="16">
          <cell r="F16">
            <v>0</v>
          </cell>
          <cell r="G16">
            <v>0</v>
          </cell>
        </row>
        <row r="17">
          <cell r="F17">
            <v>0</v>
          </cell>
          <cell r="G17">
            <v>0</v>
          </cell>
        </row>
        <row r="20">
          <cell r="F20">
            <v>0</v>
          </cell>
          <cell r="G20">
            <v>0</v>
          </cell>
        </row>
        <row r="21">
          <cell r="F21">
            <v>0</v>
          </cell>
          <cell r="G21">
            <v>0</v>
          </cell>
        </row>
        <row r="22">
          <cell r="F22">
            <v>0</v>
          </cell>
          <cell r="G22">
            <v>0</v>
          </cell>
        </row>
        <row r="23">
          <cell r="F23">
            <v>0</v>
          </cell>
          <cell r="G23">
            <v>0</v>
          </cell>
        </row>
        <row r="24">
          <cell r="F24">
            <v>0</v>
          </cell>
          <cell r="G24">
            <v>0</v>
          </cell>
        </row>
        <row r="25">
          <cell r="F25">
            <v>0</v>
          </cell>
          <cell r="G25">
            <v>0</v>
          </cell>
        </row>
        <row r="26">
          <cell r="F26">
            <v>0</v>
          </cell>
          <cell r="G26">
            <v>0</v>
          </cell>
        </row>
        <row r="27">
          <cell r="F27">
            <v>0</v>
          </cell>
          <cell r="G27">
            <v>0</v>
          </cell>
        </row>
        <row r="28">
          <cell r="F28">
            <v>0</v>
          </cell>
          <cell r="G28">
            <v>0</v>
          </cell>
        </row>
        <row r="29">
          <cell r="F29">
            <v>0</v>
          </cell>
          <cell r="G29">
            <v>0</v>
          </cell>
        </row>
        <row r="30">
          <cell r="F30">
            <v>0</v>
          </cell>
          <cell r="G30">
            <v>0</v>
          </cell>
        </row>
        <row r="31">
          <cell r="F31">
            <v>0</v>
          </cell>
          <cell r="G31">
            <v>0</v>
          </cell>
        </row>
        <row r="32">
          <cell r="F32">
            <v>0</v>
          </cell>
          <cell r="G32">
            <v>0</v>
          </cell>
        </row>
        <row r="33">
          <cell r="F33">
            <v>0</v>
          </cell>
          <cell r="G33">
            <v>0</v>
          </cell>
        </row>
        <row r="34">
          <cell r="F34">
            <v>0</v>
          </cell>
          <cell r="G34">
            <v>0</v>
          </cell>
        </row>
        <row r="35">
          <cell r="F35">
            <v>0</v>
          </cell>
          <cell r="G35">
            <v>0</v>
          </cell>
        </row>
        <row r="36">
          <cell r="F36">
            <v>0</v>
          </cell>
          <cell r="G36">
            <v>0</v>
          </cell>
        </row>
        <row r="37">
          <cell r="F37">
            <v>0</v>
          </cell>
          <cell r="G37">
            <v>0</v>
          </cell>
        </row>
        <row r="38">
          <cell r="F38">
            <v>0</v>
          </cell>
          <cell r="G38">
            <v>0</v>
          </cell>
        </row>
        <row r="39">
          <cell r="F39">
            <v>0</v>
          </cell>
          <cell r="G39">
            <v>0</v>
          </cell>
        </row>
        <row r="40">
          <cell r="F40">
            <v>0</v>
          </cell>
          <cell r="G40">
            <v>0</v>
          </cell>
        </row>
        <row r="41">
          <cell r="F41">
            <v>0</v>
          </cell>
          <cell r="G41">
            <v>0</v>
          </cell>
        </row>
        <row r="42">
          <cell r="F42">
            <v>0</v>
          </cell>
          <cell r="G42">
            <v>0</v>
          </cell>
        </row>
        <row r="49">
          <cell r="F49">
            <v>0</v>
          </cell>
          <cell r="G49">
            <v>0</v>
          </cell>
        </row>
        <row r="50">
          <cell r="F50">
            <v>0</v>
          </cell>
          <cell r="G50">
            <v>0</v>
          </cell>
        </row>
        <row r="51">
          <cell r="F51">
            <v>0</v>
          </cell>
          <cell r="G51">
            <v>0</v>
          </cell>
        </row>
        <row r="52">
          <cell r="F52">
            <v>0</v>
          </cell>
          <cell r="G52">
            <v>0</v>
          </cell>
        </row>
        <row r="53">
          <cell r="F53">
            <v>0</v>
          </cell>
          <cell r="G53">
            <v>0</v>
          </cell>
        </row>
        <row r="54">
          <cell r="F54">
            <v>0</v>
          </cell>
          <cell r="G54">
            <v>0</v>
          </cell>
        </row>
        <row r="55">
          <cell r="F55">
            <v>0</v>
          </cell>
          <cell r="G55">
            <v>0</v>
          </cell>
        </row>
        <row r="56">
          <cell r="F56">
            <v>0</v>
          </cell>
          <cell r="G56">
            <v>0</v>
          </cell>
        </row>
        <row r="57">
          <cell r="F57">
            <v>0</v>
          </cell>
          <cell r="G57">
            <v>0</v>
          </cell>
        </row>
        <row r="61">
          <cell r="E61">
            <v>0</v>
          </cell>
        </row>
        <row r="62">
          <cell r="F62">
            <v>0</v>
          </cell>
        </row>
        <row r="63">
          <cell r="F63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2"/>
  <sheetViews>
    <sheetView view="pageBreakPreview" workbookViewId="0">
      <selection activeCell="F13" sqref="F13"/>
    </sheetView>
  </sheetViews>
  <sheetFormatPr defaultRowHeight="13.5"/>
  <cols>
    <col min="1" max="1" width="14.77734375" style="119" customWidth="1"/>
    <col min="2" max="2" width="13.5546875" style="119" customWidth="1"/>
    <col min="3" max="4" width="18.88671875" style="119" customWidth="1"/>
    <col min="5" max="5" width="8.88671875" style="119"/>
    <col min="6" max="6" width="11.21875" style="119" bestFit="1" customWidth="1"/>
    <col min="7" max="7" width="10.5546875" style="119" bestFit="1" customWidth="1"/>
    <col min="8" max="9" width="8.88671875" style="119"/>
    <col min="10" max="10" width="10.5546875" style="119" bestFit="1" customWidth="1"/>
    <col min="11" max="16384" width="8.88671875" style="119"/>
  </cols>
  <sheetData>
    <row r="1" spans="1:4" s="111" customFormat="1" ht="25.5">
      <c r="A1" s="615" t="s">
        <v>203</v>
      </c>
      <c r="B1" s="615"/>
      <c r="C1" s="615"/>
      <c r="D1" s="615"/>
    </row>
    <row r="2" spans="1:4" s="111" customFormat="1" ht="17.25" customHeight="1"/>
    <row r="3" spans="1:4" s="111" customFormat="1" ht="17.25" customHeight="1"/>
    <row r="4" spans="1:4" s="111" customFormat="1" ht="17.25" customHeight="1">
      <c r="A4" s="112" t="s">
        <v>204</v>
      </c>
    </row>
    <row r="5" spans="1:4" s="111" customFormat="1" ht="17.25" customHeight="1">
      <c r="A5" s="351" t="e">
        <f>#REF!&amp;" 신축공사"</f>
        <v>#REF!</v>
      </c>
    </row>
    <row r="6" spans="1:4" s="111" customFormat="1" ht="17.25" customHeight="1"/>
    <row r="7" spans="1:4" s="111" customFormat="1" ht="17.25" customHeight="1">
      <c r="A7" s="112" t="s">
        <v>205</v>
      </c>
    </row>
    <row r="8" spans="1:4" s="111" customFormat="1" ht="17.25" customHeight="1">
      <c r="A8" s="351" t="e">
        <f>#REF!</f>
        <v>#REF!</v>
      </c>
    </row>
    <row r="9" spans="1:4" s="111" customFormat="1" ht="17.25" customHeight="1"/>
    <row r="10" spans="1:4" s="111" customFormat="1" ht="17.25" customHeight="1">
      <c r="A10" s="112" t="s">
        <v>206</v>
      </c>
    </row>
    <row r="11" spans="1:4" s="111" customFormat="1" ht="17.25" customHeight="1">
      <c r="A11" s="351" t="e">
        <f>#REF!</f>
        <v>#REF!</v>
      </c>
    </row>
    <row r="12" spans="1:4" s="111" customFormat="1" ht="17.25" customHeight="1">
      <c r="A12" s="351" t="e">
        <f>#REF!&amp;" 대표이사 "&amp;#REF!&amp;" (☎"&amp;#REF!&amp;")"</f>
        <v>#REF!</v>
      </c>
    </row>
    <row r="13" spans="1:4" s="111" customFormat="1" ht="17.25" customHeight="1"/>
    <row r="14" spans="1:4" s="111" customFormat="1" ht="17.25" customHeight="1">
      <c r="A14" s="112" t="s">
        <v>207</v>
      </c>
    </row>
    <row r="15" spans="1:4" s="111" customFormat="1" ht="17.25" customHeight="1">
      <c r="A15" s="351" t="e">
        <f>#REF!</f>
        <v>#REF!</v>
      </c>
    </row>
    <row r="16" spans="1:4" s="111" customFormat="1" ht="17.25" customHeight="1">
      <c r="A16" s="111" t="e">
        <f>#REF!&amp;" 대표이사 "&amp;#REF!&amp;" (☎"&amp;#REF!&amp;")"</f>
        <v>#REF!</v>
      </c>
    </row>
    <row r="17" spans="1:6" s="111" customFormat="1" ht="17.25" customHeight="1">
      <c r="A17" s="352" t="e">
        <f>'1.건축감리비산출금액'!#REF!</f>
        <v>#REF!</v>
      </c>
    </row>
    <row r="18" spans="1:6" s="111" customFormat="1" ht="17.25" customHeight="1">
      <c r="A18" s="352" t="e">
        <f>'1.건축감리비산출금액'!#REF!&amp;" 대표이사 한주엽"&amp;" ("&amp;'1.건축감리비산출금액'!#REF!&amp;")"</f>
        <v>#REF!</v>
      </c>
    </row>
    <row r="19" spans="1:6" s="111" customFormat="1" ht="17.25" customHeight="1">
      <c r="A19" s="112" t="s">
        <v>208</v>
      </c>
    </row>
    <row r="20" spans="1:6" s="111" customFormat="1" ht="17.25" customHeight="1">
      <c r="A20" s="111" t="e">
        <f>A11</f>
        <v>#REF!</v>
      </c>
    </row>
    <row r="21" spans="1:6" s="111" customFormat="1" ht="17.25" customHeight="1">
      <c r="A21" s="111" t="e">
        <f>A12</f>
        <v>#REF!</v>
      </c>
    </row>
    <row r="22" spans="1:6" s="111" customFormat="1" ht="17.25" customHeight="1"/>
    <row r="23" spans="1:6" s="111" customFormat="1" ht="17.25" customHeight="1">
      <c r="A23" s="112" t="e">
        <f>"6. 주택건설사업계획승인신청일 : "&amp;#REF!</f>
        <v>#REF!</v>
      </c>
    </row>
    <row r="24" spans="1:6" s="111" customFormat="1" ht="17.25" customHeight="1">
      <c r="A24" s="287" t="e">
        <f>"    주택건설사업계획승인일       : "&amp;#REF!</f>
        <v>#REF!</v>
      </c>
    </row>
    <row r="25" spans="1:6" s="111" customFormat="1" ht="17.25" customHeight="1"/>
    <row r="26" spans="1:6" s="111" customFormat="1" ht="17.25" customHeight="1">
      <c r="A26" s="112" t="s">
        <v>209</v>
      </c>
    </row>
    <row r="27" spans="1:6" s="111" customFormat="1" ht="17.25" customHeight="1">
      <c r="A27" s="286" t="s">
        <v>332</v>
      </c>
      <c r="B27" s="288" t="e">
        <f>#REF!</f>
        <v>#REF!</v>
      </c>
      <c r="C27" s="289" t="e">
        <f>B27*0.3025</f>
        <v>#REF!</v>
      </c>
      <c r="F27" s="348"/>
    </row>
    <row r="28" spans="1:6" s="111" customFormat="1" ht="17.25" customHeight="1">
      <c r="A28" s="290" t="s">
        <v>333</v>
      </c>
      <c r="B28" s="291" t="e">
        <f>#REF!</f>
        <v>#REF!</v>
      </c>
      <c r="C28" s="289" t="e">
        <f>B28*0.3025</f>
        <v>#REF!</v>
      </c>
      <c r="D28" s="348" t="e">
        <f>"/용적율 "&amp;#REF!*100&amp;" %"</f>
        <v>#REF!</v>
      </c>
      <c r="F28" s="348"/>
    </row>
    <row r="29" spans="1:6" s="111" customFormat="1" ht="17.25" customHeight="1">
      <c r="A29" s="290" t="s">
        <v>414</v>
      </c>
      <c r="B29" s="291" t="e">
        <f>#REF!</f>
        <v>#REF!</v>
      </c>
      <c r="C29" s="289" t="e">
        <f>B29*0.3025</f>
        <v>#REF!</v>
      </c>
      <c r="D29" s="348" t="e">
        <f>"/건폐율 "&amp;#REF!*100&amp;" %"</f>
        <v>#REF!</v>
      </c>
      <c r="F29" s="348"/>
    </row>
    <row r="30" spans="1:6" s="111" customFormat="1" ht="17.25" customHeight="1">
      <c r="A30" s="286" t="s">
        <v>412</v>
      </c>
      <c r="B30" s="111" t="e">
        <f>#REF!</f>
        <v>#REF!</v>
      </c>
    </row>
    <row r="31" spans="1:6" s="111" customFormat="1" ht="17.25" customHeight="1">
      <c r="A31" s="349" t="s">
        <v>413</v>
      </c>
      <c r="B31" s="285" t="e">
        <f>#REF!</f>
        <v>#REF!</v>
      </c>
    </row>
    <row r="32" spans="1:6" s="111" customFormat="1" ht="17.25" customHeight="1">
      <c r="A32" s="113" t="s">
        <v>210</v>
      </c>
    </row>
    <row r="33" spans="1:6" s="111" customFormat="1" ht="17.25" customHeight="1">
      <c r="A33" s="292" t="s">
        <v>416</v>
      </c>
      <c r="B33" s="114" t="s">
        <v>211</v>
      </c>
      <c r="C33" s="114" t="s">
        <v>212</v>
      </c>
      <c r="D33" s="114" t="s">
        <v>213</v>
      </c>
    </row>
    <row r="34" spans="1:6" s="111" customFormat="1" ht="17.25" customHeight="1">
      <c r="A34" s="356">
        <f>D34</f>
        <v>109.2869</v>
      </c>
      <c r="B34" s="115">
        <v>280</v>
      </c>
      <c r="C34" s="116">
        <v>84.995900000000006</v>
      </c>
      <c r="D34" s="116">
        <v>109.2869</v>
      </c>
    </row>
    <row r="35" spans="1:6" s="111" customFormat="1" ht="17.25" customHeight="1">
      <c r="A35" s="356">
        <f>D35</f>
        <v>109.98009999999999</v>
      </c>
      <c r="B35" s="115">
        <v>280</v>
      </c>
      <c r="C35" s="116">
        <v>84.998999999999995</v>
      </c>
      <c r="D35" s="116">
        <v>109.98009999999999</v>
      </c>
    </row>
    <row r="36" spans="1:6" s="111" customFormat="1" ht="17.25" customHeight="1">
      <c r="A36" s="356">
        <f>D36</f>
        <v>109.9393</v>
      </c>
      <c r="B36" s="115">
        <v>88</v>
      </c>
      <c r="C36" s="116">
        <v>84.998999999999995</v>
      </c>
      <c r="D36" s="116">
        <v>109.9393</v>
      </c>
    </row>
    <row r="37" spans="1:6" s="111" customFormat="1" ht="17.25" customHeight="1">
      <c r="A37" s="292"/>
      <c r="B37" s="115"/>
      <c r="C37" s="116"/>
      <c r="D37" s="116"/>
    </row>
    <row r="38" spans="1:6" s="111" customFormat="1" ht="17.25" customHeight="1">
      <c r="A38" s="292"/>
      <c r="B38" s="115"/>
      <c r="C38" s="116"/>
      <c r="D38" s="116"/>
    </row>
    <row r="39" spans="1:6" s="111" customFormat="1" ht="17.25" customHeight="1">
      <c r="A39" s="114"/>
      <c r="B39" s="115"/>
      <c r="C39" s="116"/>
      <c r="D39" s="116"/>
    </row>
    <row r="40" spans="1:6" s="111" customFormat="1" ht="17.25" customHeight="1">
      <c r="A40" s="114" t="s">
        <v>149</v>
      </c>
      <c r="B40" s="115">
        <f>SUM(B34:B39)</f>
        <v>648</v>
      </c>
      <c r="C40" s="117"/>
      <c r="D40" s="117"/>
      <c r="F40" s="118"/>
    </row>
    <row r="41" spans="1:6" ht="17.25" customHeight="1"/>
    <row r="42" spans="1:6" s="111" customFormat="1" ht="17.25" customHeight="1">
      <c r="A42" s="112" t="s">
        <v>214</v>
      </c>
    </row>
    <row r="43" spans="1:6" s="111" customFormat="1" ht="17.25" customHeight="1">
      <c r="A43" s="286" t="s">
        <v>334</v>
      </c>
      <c r="B43" s="285" t="e">
        <f>#REF!</f>
        <v>#REF!</v>
      </c>
      <c r="C43" s="286" t="s">
        <v>335</v>
      </c>
    </row>
    <row r="44" spans="1:6" s="111" customFormat="1" ht="17.25" customHeight="1">
      <c r="A44" s="286" t="s">
        <v>336</v>
      </c>
      <c r="B44" s="285" t="e">
        <f>#REF!</f>
        <v>#REF!</v>
      </c>
      <c r="C44" s="286" t="s">
        <v>335</v>
      </c>
    </row>
    <row r="45" spans="1:6" s="111" customFormat="1" ht="17.25" customHeight="1">
      <c r="A45" s="286" t="s">
        <v>337</v>
      </c>
      <c r="B45" s="285">
        <f>'2.산출총괄표(건축)'!D11</f>
        <v>50156260</v>
      </c>
      <c r="C45" s="286" t="s">
        <v>335</v>
      </c>
    </row>
    <row r="46" spans="1:6" s="111" customFormat="1" ht="17.25" customHeight="1">
      <c r="A46" s="612" t="s">
        <v>215</v>
      </c>
      <c r="B46" s="612"/>
      <c r="C46" s="612" t="s">
        <v>216</v>
      </c>
      <c r="D46" s="612"/>
    </row>
    <row r="47" spans="1:6" s="111" customFormat="1" ht="17.25" customHeight="1">
      <c r="A47" s="612" t="s">
        <v>217</v>
      </c>
      <c r="B47" s="612"/>
      <c r="C47" s="613">
        <f>'2.산출총괄표(건축)'!F11</f>
        <v>42247876</v>
      </c>
      <c r="D47" s="614"/>
    </row>
    <row r="48" spans="1:6" s="111" customFormat="1" ht="17.25" customHeight="1">
      <c r="A48" s="612" t="s">
        <v>218</v>
      </c>
      <c r="B48" s="612"/>
      <c r="C48" s="613" t="s">
        <v>219</v>
      </c>
      <c r="D48" s="614"/>
    </row>
    <row r="49" spans="1:10" s="111" customFormat="1" ht="17.25" customHeight="1">
      <c r="A49" s="612" t="s">
        <v>220</v>
      </c>
      <c r="B49" s="612"/>
      <c r="C49" s="613">
        <f>'2.산출총괄표(건축)'!H11</f>
        <v>7908384</v>
      </c>
      <c r="D49" s="614"/>
      <c r="J49" s="120"/>
    </row>
    <row r="50" spans="1:10" s="111" customFormat="1" ht="17.25" customHeight="1">
      <c r="A50" s="612" t="s">
        <v>221</v>
      </c>
      <c r="B50" s="612"/>
      <c r="C50" s="613">
        <f>SUM(C47:D49)</f>
        <v>50156260</v>
      </c>
      <c r="D50" s="614"/>
    </row>
    <row r="51" spans="1:10" s="111" customFormat="1" ht="17.25" customHeight="1"/>
    <row r="52" spans="1:10" s="111" customFormat="1" ht="17.25" customHeight="1">
      <c r="A52" s="111" t="s">
        <v>222</v>
      </c>
    </row>
    <row r="53" spans="1:10" s="111" customFormat="1" ht="17.25" customHeight="1">
      <c r="A53" s="612" t="s">
        <v>215</v>
      </c>
      <c r="B53" s="612"/>
      <c r="C53" s="612" t="s">
        <v>216</v>
      </c>
      <c r="D53" s="612"/>
    </row>
    <row r="54" spans="1:10" s="111" customFormat="1" ht="17.25" customHeight="1">
      <c r="A54" s="612" t="s">
        <v>223</v>
      </c>
      <c r="B54" s="612"/>
      <c r="C54" s="613">
        <f>'2.산출총괄표(건축)'!H8</f>
        <v>3491560</v>
      </c>
      <c r="D54" s="614"/>
    </row>
    <row r="55" spans="1:10" s="111" customFormat="1" ht="17.25" customHeight="1">
      <c r="A55" s="612" t="s">
        <v>224</v>
      </c>
      <c r="B55" s="612"/>
      <c r="C55" s="613">
        <f>'2.산출총괄표(건축)'!H9</f>
        <v>1920358</v>
      </c>
      <c r="D55" s="614"/>
    </row>
    <row r="56" spans="1:10" s="111" customFormat="1" ht="17.25" customHeight="1">
      <c r="A56" s="612" t="s">
        <v>225</v>
      </c>
      <c r="B56" s="612"/>
      <c r="C56" s="613">
        <f>'2.산출총괄표(건축)'!H10</f>
        <v>2496466</v>
      </c>
      <c r="D56" s="614"/>
    </row>
    <row r="57" spans="1:10" s="111" customFormat="1" ht="17.25" customHeight="1">
      <c r="A57" s="612" t="s">
        <v>226</v>
      </c>
      <c r="B57" s="612"/>
      <c r="C57" s="613">
        <f>SUM('2.산출총괄표(건축)'!D12:D13)</f>
        <v>8036408</v>
      </c>
      <c r="D57" s="614"/>
    </row>
    <row r="58" spans="1:10" s="111" customFormat="1" ht="17.25" customHeight="1">
      <c r="A58" s="612" t="s">
        <v>221</v>
      </c>
      <c r="B58" s="612"/>
      <c r="C58" s="613">
        <f>SUM(C54:D57)</f>
        <v>15944792</v>
      </c>
      <c r="D58" s="614"/>
    </row>
    <row r="59" spans="1:10" s="121" customFormat="1"/>
    <row r="60" spans="1:10" s="121" customFormat="1">
      <c r="D60" s="122"/>
    </row>
    <row r="61" spans="1:10" s="121" customFormat="1"/>
    <row r="62" spans="1:10" s="121" customFormat="1"/>
    <row r="63" spans="1:10" s="121" customFormat="1"/>
    <row r="64" spans="1:10" s="121" customFormat="1"/>
    <row r="65" s="121" customFormat="1"/>
    <row r="66" s="121" customFormat="1"/>
    <row r="67" s="121" customFormat="1"/>
    <row r="68" s="121" customFormat="1"/>
    <row r="69" s="121" customFormat="1"/>
    <row r="70" s="121" customFormat="1"/>
    <row r="71" s="121" customFormat="1"/>
    <row r="72" s="121" customFormat="1"/>
  </sheetData>
  <mergeCells count="23">
    <mergeCell ref="A58:B58"/>
    <mergeCell ref="C58:D58"/>
    <mergeCell ref="A56:B56"/>
    <mergeCell ref="C56:D56"/>
    <mergeCell ref="A57:B57"/>
    <mergeCell ref="C57:D57"/>
    <mergeCell ref="A54:B54"/>
    <mergeCell ref="C54:D54"/>
    <mergeCell ref="A55:B55"/>
    <mergeCell ref="C55:D55"/>
    <mergeCell ref="A50:B50"/>
    <mergeCell ref="C50:D50"/>
    <mergeCell ref="A53:B53"/>
    <mergeCell ref="C53:D53"/>
    <mergeCell ref="A48:B48"/>
    <mergeCell ref="C48:D48"/>
    <mergeCell ref="A49:B49"/>
    <mergeCell ref="C49:D49"/>
    <mergeCell ref="A1:D1"/>
    <mergeCell ref="A46:B46"/>
    <mergeCell ref="C46:D46"/>
    <mergeCell ref="A47:B47"/>
    <mergeCell ref="C47:D47"/>
  </mergeCells>
  <phoneticPr fontId="3" type="noConversion"/>
  <pageMargins left="0.75" right="0.75" top="1" bottom="1" header="0.5" footer="0.5"/>
  <pageSetup paperSize="9" scale="99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N44"/>
  <sheetViews>
    <sheetView view="pageBreakPreview" zoomScale="70" zoomScaleNormal="85" workbookViewId="0">
      <selection activeCell="K18" sqref="K18"/>
    </sheetView>
  </sheetViews>
  <sheetFormatPr defaultRowHeight="13.5"/>
  <cols>
    <col min="1" max="8" width="14.109375" style="119" customWidth="1"/>
    <col min="9" max="9" width="18" style="119" customWidth="1"/>
    <col min="10" max="10" width="8.88671875" style="119"/>
    <col min="11" max="11" width="10.21875" style="119" customWidth="1"/>
    <col min="12" max="13" width="8.88671875" style="119"/>
    <col min="14" max="14" width="8.6640625" style="119" customWidth="1"/>
    <col min="15" max="16384" width="8.88671875" style="119"/>
  </cols>
  <sheetData>
    <row r="1" spans="1:14" s="111" customFormat="1" ht="24.75" customHeight="1">
      <c r="A1" s="616" t="e">
        <f>#REF!&amp;" 신축공사 감리비 산출서"</f>
        <v>#REF!</v>
      </c>
      <c r="B1" s="616"/>
      <c r="C1" s="616"/>
      <c r="D1" s="616"/>
      <c r="E1" s="616"/>
      <c r="F1" s="616"/>
      <c r="G1" s="616"/>
      <c r="H1" s="616"/>
      <c r="I1" s="123"/>
      <c r="J1" s="123"/>
      <c r="K1" s="123"/>
    </row>
    <row r="2" spans="1:14" s="124" customFormat="1" ht="16.5" customHeight="1"/>
    <row r="3" spans="1:14" s="124" customFormat="1" ht="18.75" customHeight="1">
      <c r="A3" s="125" t="s">
        <v>227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</row>
    <row r="4" spans="1:14" s="124" customFormat="1" ht="18.75" customHeight="1">
      <c r="A4" s="126" t="s">
        <v>228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</row>
    <row r="5" spans="1:14" s="124" customFormat="1" ht="18.75" customHeight="1">
      <c r="A5" s="126"/>
      <c r="B5" s="127" t="s">
        <v>198</v>
      </c>
      <c r="C5" s="127" t="s">
        <v>229</v>
      </c>
      <c r="D5" s="127" t="s">
        <v>230</v>
      </c>
      <c r="E5" s="127" t="s">
        <v>231</v>
      </c>
      <c r="F5" s="127" t="s">
        <v>232</v>
      </c>
      <c r="G5" s="127" t="s">
        <v>233</v>
      </c>
      <c r="H5" s="127" t="s">
        <v>234</v>
      </c>
      <c r="I5" s="126"/>
    </row>
    <row r="6" spans="1:14" s="124" customFormat="1" ht="18.75" customHeight="1">
      <c r="A6" s="126"/>
      <c r="B6" s="128" t="s">
        <v>235</v>
      </c>
      <c r="C6" s="129">
        <v>38.1</v>
      </c>
      <c r="D6" s="129">
        <v>73.8</v>
      </c>
      <c r="E6" s="129">
        <v>163.19999999999999</v>
      </c>
      <c r="F6" s="129">
        <v>277</v>
      </c>
      <c r="G6" s="129">
        <v>472</v>
      </c>
      <c r="H6" s="129">
        <v>645.20000000000005</v>
      </c>
      <c r="I6" s="126"/>
    </row>
    <row r="7" spans="1:14" s="124" customFormat="1" ht="18.75" customHeight="1">
      <c r="A7" s="126"/>
      <c r="B7" s="130"/>
      <c r="C7" s="131"/>
      <c r="D7" s="131"/>
      <c r="E7" s="131"/>
      <c r="F7" s="131"/>
      <c r="G7" s="131"/>
      <c r="H7" s="131"/>
      <c r="I7" s="126"/>
    </row>
    <row r="8" spans="1:14" s="124" customFormat="1" ht="18.75" customHeight="1">
      <c r="A8" s="126"/>
      <c r="B8" s="127" t="s">
        <v>198</v>
      </c>
      <c r="C8" s="127" t="s">
        <v>236</v>
      </c>
      <c r="D8" s="127" t="s">
        <v>231</v>
      </c>
      <c r="E8" s="127" t="s">
        <v>232</v>
      </c>
      <c r="F8" s="127" t="s">
        <v>233</v>
      </c>
      <c r="G8" s="127" t="s">
        <v>234</v>
      </c>
      <c r="H8" s="127" t="s">
        <v>237</v>
      </c>
      <c r="I8" s="126"/>
    </row>
    <row r="9" spans="1:14" s="124" customFormat="1" ht="18.75" customHeight="1">
      <c r="A9" s="126"/>
      <c r="B9" s="128" t="s">
        <v>238</v>
      </c>
      <c r="C9" s="353">
        <v>2.69</v>
      </c>
      <c r="D9" s="353">
        <v>2.39</v>
      </c>
      <c r="E9" s="353">
        <v>2.33</v>
      </c>
      <c r="F9" s="353">
        <v>2.2999999999999998</v>
      </c>
      <c r="G9" s="353">
        <v>2.2400000000000002</v>
      </c>
      <c r="H9" s="129"/>
      <c r="I9" s="297" t="s">
        <v>415</v>
      </c>
    </row>
    <row r="10" spans="1:14" s="124" customFormat="1" ht="18.75" customHeight="1">
      <c r="A10" s="126" t="s">
        <v>338</v>
      </c>
      <c r="B10" s="293">
        <f>'2.산출총괄표(건축)'!F14</f>
        <v>49017144</v>
      </c>
      <c r="C10" s="126" t="s">
        <v>339</v>
      </c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</row>
    <row r="11" spans="1:14" s="124" customFormat="1" ht="18.75" customHeight="1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</row>
    <row r="12" spans="1:14" s="124" customFormat="1" ht="18.75" customHeight="1">
      <c r="A12" s="126"/>
      <c r="B12" s="126" t="s">
        <v>239</v>
      </c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</row>
    <row r="13" spans="1:14" s="124" customFormat="1" ht="18.75" customHeight="1">
      <c r="A13" s="126"/>
      <c r="B13" s="126" t="s">
        <v>340</v>
      </c>
      <c r="C13" s="126" t="str">
        <f ca="1">'1.건축감리비산출금액'!P36&amp;"+ (("&amp;B10/100000&amp;"-"&amp;'1.건축감리비산출금액'!I36/100000&amp;")×("&amp;'1.건축감리비산출금액'!P38&amp;"-"&amp;'1.건축감리비산출금액'!P36&amp;")/("&amp;'1.건축감리비산출금액'!O38/100000&amp;"-"&amp;'1.건축감리비산출금액'!O36/100000&amp;")) = "</f>
        <v xml:space="preserve">109.9+ ((490.17144-300)×(163.2-109.9)/(500-300)) = </v>
      </c>
      <c r="D13" s="126"/>
      <c r="E13" s="126"/>
      <c r="F13" s="126"/>
      <c r="H13" s="294">
        <f ca="1">ROUND('1.건축감리비산출금액'!P36+ ((B10/100000-'1.건축감리비산출금액'!I36/100000)*('1.건축감리비산출금액'!P38-'1.건축감리비산출금액'!P36)/('1.건축감리비산출금액'!O38/100000-'1.건축감리비산출금액'!O36/100000)),3)</f>
        <v>160.58099999999999</v>
      </c>
      <c r="I13" s="126"/>
      <c r="J13" s="126"/>
      <c r="K13" s="126"/>
      <c r="L13" s="126"/>
      <c r="M13" s="126"/>
      <c r="N13" s="126"/>
    </row>
    <row r="14" spans="1:14" s="124" customFormat="1" ht="18.75" customHeight="1">
      <c r="A14" s="126"/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</row>
    <row r="15" spans="1:14" s="124" customFormat="1" ht="18.75" customHeight="1">
      <c r="A15" s="126"/>
      <c r="B15" s="126" t="s">
        <v>240</v>
      </c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</row>
    <row r="16" spans="1:14" s="124" customFormat="1" ht="18.75" customHeight="1">
      <c r="A16" s="126"/>
      <c r="B16" s="126" t="s">
        <v>341</v>
      </c>
      <c r="C16" s="126" t="str">
        <f ca="1">'1.건축감리비산출금액'!J36&amp;" - (("&amp;'1.건축감리비산출금액'!I37/100000&amp;"-"&amp;'1.건축감리비산출금액'!I36/100000&amp;")×("&amp;'1.건축감리비산출금액'!J36&amp;"-"&amp;'1.건축감리비산출금액'!J38&amp;")/("&amp;'1.건축감리비산출금액'!I38/100000&amp;"-"&amp;'1.건축감리비산출금액'!I36/100000&amp;")) = "</f>
        <v xml:space="preserve">0.0269 - ((490.17144-300)×(0.0269-0.0239)/(500-300)) = </v>
      </c>
      <c r="D16" s="126"/>
      <c r="E16" s="126"/>
      <c r="F16" s="126"/>
      <c r="H16" s="295">
        <f ca="1">ROUND('1.건축감리비산출금액'!J36-(('1.건축감리비산출금액'!I37/100000-'1.건축감리비산출금액'!I36/100000)*('1.건축감리비산출금액'!J36-'1.건축감리비산출금액'!J38)/('1.건축감리비산출금액'!I38/100000-'1.건축감리비산출금액'!I36/100000)),6)</f>
        <v>2.4046999999999999E-2</v>
      </c>
      <c r="I16" s="126"/>
      <c r="J16" s="126"/>
      <c r="K16" s="126"/>
      <c r="L16" s="126"/>
      <c r="M16" s="126"/>
      <c r="N16" s="126"/>
    </row>
    <row r="17" spans="1:14" s="124" customFormat="1" ht="18.75" customHeight="1">
      <c r="A17" s="126"/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</row>
    <row r="18" spans="1:14" s="124" customFormat="1" ht="18.75" customHeight="1">
      <c r="A18" s="126"/>
      <c r="B18" s="132" t="s">
        <v>342</v>
      </c>
      <c r="C18" s="126" t="str">
        <f ca="1">B10&amp;" X "&amp;H16&amp;" = "</f>
        <v xml:space="preserve">49017144 X 0.024047 = </v>
      </c>
      <c r="D18" s="126"/>
      <c r="E18" s="296">
        <f ca="1">ROUNDDOWN(B10*H16,0)</f>
        <v>1178715</v>
      </c>
      <c r="F18" s="126" t="s">
        <v>343</v>
      </c>
      <c r="G18" s="126"/>
      <c r="H18" s="133"/>
      <c r="I18" s="134"/>
      <c r="J18" s="126"/>
      <c r="K18" s="126"/>
      <c r="L18" s="126"/>
      <c r="M18" s="126"/>
      <c r="N18" s="126"/>
    </row>
    <row r="19" spans="1:14" s="124" customFormat="1" ht="18.75" customHeight="1">
      <c r="A19" s="126"/>
      <c r="B19" s="132" t="s">
        <v>241</v>
      </c>
      <c r="C19" s="126" t="str">
        <f ca="1">B10&amp;" X "&amp;H16&amp;" *1.1 = "</f>
        <v xml:space="preserve">49017144 X 0.024047 *1.1 = </v>
      </c>
      <c r="D19" s="126"/>
      <c r="E19" s="135">
        <f ca="1">B10*H16*1.1</f>
        <v>1296586.7879448</v>
      </c>
      <c r="F19" s="126" t="s">
        <v>344</v>
      </c>
      <c r="G19" s="126"/>
      <c r="H19" s="126"/>
      <c r="I19" s="135"/>
      <c r="J19" s="126"/>
      <c r="K19" s="126"/>
      <c r="L19" s="126"/>
      <c r="M19" s="126"/>
      <c r="N19" s="126"/>
    </row>
    <row r="20" spans="1:14" s="124" customFormat="1" ht="18.75" customHeight="1">
      <c r="A20" s="126"/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</row>
    <row r="21" spans="1:14" s="124" customFormat="1" ht="18.75" customHeight="1">
      <c r="A21" s="126" t="s">
        <v>242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</row>
    <row r="22" spans="1:14" s="124" customFormat="1" ht="18.75" customHeight="1">
      <c r="A22" s="126" t="s">
        <v>243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</row>
    <row r="23" spans="1:14" s="124" customFormat="1" ht="18.75" customHeight="1">
      <c r="A23" s="126" t="s">
        <v>244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</row>
    <row r="24" spans="1:14" s="124" customFormat="1" ht="18.75" customHeight="1">
      <c r="A24" s="126" t="s">
        <v>245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</row>
    <row r="25" spans="1:14" s="124" customFormat="1" ht="18.75" customHeight="1">
      <c r="A25" s="126" t="s">
        <v>246</v>
      </c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</row>
    <row r="26" spans="1:14" s="124" customFormat="1" ht="18.75" customHeight="1">
      <c r="A26" s="126" t="s">
        <v>247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</row>
    <row r="27" spans="1:14" s="124" customFormat="1" ht="18.75" customHeight="1">
      <c r="A27" s="297" t="s">
        <v>417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</row>
    <row r="28" spans="1:14" s="124" customFormat="1" ht="18.75" customHeight="1">
      <c r="A28" s="297" t="s">
        <v>7</v>
      </c>
      <c r="B28" s="297"/>
      <c r="C28" s="297"/>
      <c r="D28" s="297"/>
      <c r="E28" s="297"/>
      <c r="F28" s="126"/>
      <c r="G28" s="126"/>
      <c r="H28" s="126"/>
      <c r="I28" s="126"/>
      <c r="J28" s="126"/>
      <c r="K28" s="126"/>
      <c r="L28" s="126"/>
      <c r="M28" s="126"/>
      <c r="N28" s="126"/>
    </row>
    <row r="29" spans="1:14" s="124" customFormat="1" ht="18.75" customHeight="1">
      <c r="A29" s="297" t="s">
        <v>8</v>
      </c>
      <c r="B29" s="297"/>
      <c r="C29" s="297"/>
      <c r="D29" s="297"/>
      <c r="E29" s="297"/>
      <c r="F29" s="126"/>
      <c r="G29" s="126"/>
      <c r="H29" s="126"/>
      <c r="I29" s="126"/>
      <c r="J29" s="126"/>
      <c r="K29" s="126"/>
      <c r="L29" s="126"/>
      <c r="M29" s="126"/>
      <c r="N29" s="126"/>
    </row>
    <row r="30" spans="1:14" s="124" customFormat="1" ht="18.75" customHeight="1">
      <c r="A30" s="297" t="s">
        <v>248</v>
      </c>
      <c r="B30" s="297"/>
      <c r="C30" s="297"/>
      <c r="D30" s="297"/>
      <c r="E30" s="297"/>
      <c r="F30" s="126"/>
      <c r="G30" s="126"/>
      <c r="H30" s="126"/>
      <c r="I30" s="126"/>
      <c r="J30" s="126"/>
      <c r="K30" s="126"/>
      <c r="L30" s="126"/>
      <c r="M30" s="126"/>
      <c r="N30" s="126"/>
    </row>
    <row r="31" spans="1:14" s="124" customFormat="1" ht="18.75" customHeight="1">
      <c r="A31" s="297"/>
      <c r="B31" s="297"/>
      <c r="C31" s="297"/>
      <c r="D31" s="297"/>
      <c r="E31" s="297"/>
      <c r="F31" s="126"/>
      <c r="G31" s="126"/>
      <c r="H31" s="126"/>
      <c r="I31" s="126"/>
      <c r="J31" s="126"/>
      <c r="K31" s="126"/>
      <c r="L31" s="126"/>
      <c r="M31" s="126"/>
      <c r="N31" s="126"/>
    </row>
    <row r="32" spans="1:14" s="332" customFormat="1" ht="18.75" customHeight="1">
      <c r="A32" s="329" t="s">
        <v>10</v>
      </c>
      <c r="B32" s="330"/>
      <c r="C32" s="331" t="e">
        <f>#REF!/1000</f>
        <v>#REF!</v>
      </c>
      <c r="D32" s="329" t="s">
        <v>9</v>
      </c>
      <c r="E32" s="329"/>
      <c r="F32" s="329"/>
      <c r="G32" s="329"/>
      <c r="H32" s="329"/>
      <c r="I32" s="329"/>
      <c r="J32" s="329"/>
      <c r="K32" s="329"/>
      <c r="L32" s="329"/>
      <c r="M32" s="329"/>
      <c r="N32" s="329"/>
    </row>
    <row r="33" spans="1:14" s="332" customFormat="1" ht="18.75" customHeight="1">
      <c r="A33" s="329" t="s">
        <v>11</v>
      </c>
      <c r="B33" s="330"/>
      <c r="C33" s="331" t="e">
        <f>C32*1.1</f>
        <v>#REF!</v>
      </c>
      <c r="D33" s="329" t="s">
        <v>12</v>
      </c>
      <c r="E33" s="329"/>
      <c r="F33" s="329"/>
      <c r="G33" s="329"/>
      <c r="H33" s="329"/>
      <c r="I33" s="329"/>
      <c r="J33" s="329"/>
      <c r="K33" s="329"/>
      <c r="L33" s="329"/>
      <c r="M33" s="329"/>
      <c r="N33" s="329"/>
    </row>
    <row r="34" spans="1:14" s="332" customFormat="1" ht="18.75" customHeight="1">
      <c r="A34" s="329" t="s">
        <v>13</v>
      </c>
      <c r="B34" s="330"/>
      <c r="C34" s="331">
        <f>' 7소방'!K26/1000</f>
        <v>95000</v>
      </c>
      <c r="D34" s="329" t="s">
        <v>9</v>
      </c>
      <c r="E34" s="329"/>
      <c r="F34" s="329"/>
      <c r="G34" s="329"/>
      <c r="H34" s="329"/>
      <c r="I34" s="329"/>
      <c r="J34" s="329"/>
      <c r="K34" s="329"/>
      <c r="L34" s="329"/>
      <c r="M34" s="329"/>
      <c r="N34" s="329"/>
    </row>
    <row r="35" spans="1:14" s="332" customFormat="1" ht="18.75" customHeight="1">
      <c r="A35" s="329" t="s">
        <v>249</v>
      </c>
      <c r="B35" s="330"/>
      <c r="C35" s="331">
        <f>C34*1.1</f>
        <v>104500.00000000001</v>
      </c>
      <c r="D35" s="329" t="s">
        <v>12</v>
      </c>
      <c r="E35" s="329"/>
      <c r="F35" s="329"/>
      <c r="G35" s="329"/>
      <c r="H35" s="329"/>
      <c r="I35" s="329"/>
      <c r="J35" s="329"/>
      <c r="K35" s="329"/>
      <c r="L35" s="329"/>
      <c r="M35" s="329"/>
      <c r="N35" s="329"/>
    </row>
    <row r="36" spans="1:14" s="332" customFormat="1" ht="18.75" customHeight="1">
      <c r="A36" s="329" t="s">
        <v>14</v>
      </c>
      <c r="B36" s="330"/>
      <c r="C36" s="331">
        <f>'6정보통신'!I28/1000</f>
        <v>26000</v>
      </c>
      <c r="D36" s="329" t="s">
        <v>15</v>
      </c>
      <c r="E36" s="329"/>
      <c r="F36" s="329"/>
      <c r="G36" s="329"/>
      <c r="H36" s="329"/>
      <c r="I36" s="329"/>
      <c r="J36" s="329"/>
      <c r="K36" s="329"/>
      <c r="L36" s="329"/>
      <c r="M36" s="329"/>
      <c r="N36" s="329"/>
    </row>
    <row r="37" spans="1:14" s="332" customFormat="1" ht="18.75" customHeight="1">
      <c r="A37" s="329" t="s">
        <v>250</v>
      </c>
      <c r="B37" s="330"/>
      <c r="C37" s="331">
        <f>C36*1.1</f>
        <v>28600.000000000004</v>
      </c>
      <c r="D37" s="329" t="s">
        <v>12</v>
      </c>
      <c r="E37" s="329"/>
      <c r="F37" s="329"/>
      <c r="G37" s="329"/>
      <c r="H37" s="329"/>
      <c r="I37" s="329"/>
      <c r="J37" s="329"/>
      <c r="K37" s="329"/>
      <c r="L37" s="329"/>
      <c r="M37" s="329"/>
      <c r="N37" s="329"/>
    </row>
    <row r="38" spans="1:14" s="332" customFormat="1" ht="18.75" customHeight="1">
      <c r="A38" s="329" t="s">
        <v>251</v>
      </c>
      <c r="B38" s="333" t="s">
        <v>16</v>
      </c>
      <c r="C38" s="329"/>
      <c r="D38" s="331" t="e">
        <f>C32+C34+C36</f>
        <v>#REF!</v>
      </c>
      <c r="E38" s="329" t="s">
        <v>9</v>
      </c>
      <c r="F38" s="329"/>
      <c r="G38" s="329"/>
      <c r="H38" s="329"/>
      <c r="I38" s="329"/>
      <c r="J38" s="329"/>
      <c r="K38" s="329"/>
      <c r="L38" s="329"/>
      <c r="M38" s="329"/>
      <c r="N38" s="329"/>
    </row>
    <row r="39" spans="1:14" s="332" customFormat="1" ht="18.75" customHeight="1">
      <c r="B39" s="333" t="s">
        <v>252</v>
      </c>
      <c r="D39" s="331" t="e">
        <f>C33+C35+C37</f>
        <v>#REF!</v>
      </c>
      <c r="E39" s="329" t="s">
        <v>12</v>
      </c>
    </row>
    <row r="40" spans="1:14" ht="16.5" customHeight="1"/>
    <row r="41" spans="1:14" ht="16.5" customHeight="1"/>
    <row r="42" spans="1:14" ht="16.5" customHeight="1"/>
    <row r="43" spans="1:14" ht="16.5" customHeight="1"/>
    <row r="44" spans="1:14" ht="16.5" customHeight="1"/>
  </sheetData>
  <mergeCells count="1">
    <mergeCell ref="A1:H1"/>
  </mergeCells>
  <phoneticPr fontId="3" type="noConversion"/>
  <pageMargins left="0.51181102362204722" right="0.35433070866141736" top="0.98425196850393704" bottom="0.98425196850393704" header="0.51181102362204722" footer="0.51181102362204722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R64"/>
  <sheetViews>
    <sheetView view="pageBreakPreview" zoomScale="70" zoomScaleSheetLayoutView="70" workbookViewId="0">
      <selection activeCell="S16" sqref="S16"/>
    </sheetView>
  </sheetViews>
  <sheetFormatPr defaultRowHeight="20.100000000000001" customHeight="1"/>
  <cols>
    <col min="1" max="1" width="10.88671875" style="2" customWidth="1"/>
    <col min="2" max="2" width="7.21875" style="2" bestFit="1" customWidth="1"/>
    <col min="3" max="3" width="12.44140625" style="2" customWidth="1"/>
    <col min="4" max="4" width="20.109375" style="2" customWidth="1"/>
    <col min="5" max="5" width="16.44140625" style="2" customWidth="1"/>
    <col min="6" max="6" width="15.77734375" style="2" customWidth="1"/>
    <col min="7" max="7" width="9.109375" style="2" hidden="1" customWidth="1"/>
    <col min="8" max="8" width="2.88671875" style="2" hidden="1" customWidth="1"/>
    <col min="9" max="9" width="17.109375" style="2" hidden="1" customWidth="1"/>
    <col min="10" max="10" width="8.44140625" style="2" hidden="1" customWidth="1"/>
    <col min="11" max="11" width="11.5546875" style="2" hidden="1" customWidth="1"/>
    <col min="12" max="13" width="3" style="2" hidden="1" customWidth="1"/>
    <col min="14" max="14" width="3.21875" style="2" hidden="1" customWidth="1"/>
    <col min="15" max="15" width="15" style="2" hidden="1" customWidth="1"/>
    <col min="16" max="16" width="9.33203125" style="2" hidden="1" customWidth="1"/>
    <col min="17" max="17" width="0" style="2" hidden="1" customWidth="1"/>
    <col min="18" max="18" width="3.109375" style="2" hidden="1" customWidth="1"/>
    <col min="19" max="16384" width="8.88671875" style="2"/>
  </cols>
  <sheetData>
    <row r="1" spans="1:9" ht="32.25" customHeight="1">
      <c r="A1" s="623" t="s">
        <v>735</v>
      </c>
      <c r="B1" s="623"/>
      <c r="C1" s="623"/>
      <c r="D1" s="623"/>
      <c r="E1" s="623"/>
      <c r="F1" s="623"/>
    </row>
    <row r="2" spans="1:9" ht="16.5" customHeight="1">
      <c r="A2" s="3"/>
      <c r="B2" s="3"/>
      <c r="C2" s="3"/>
      <c r="D2" s="3"/>
      <c r="E2" s="3"/>
      <c r="F2" s="4" t="s">
        <v>718</v>
      </c>
    </row>
    <row r="3" spans="1:9" s="7" customFormat="1" ht="15.75" customHeight="1">
      <c r="A3" s="617" t="s">
        <v>22</v>
      </c>
      <c r="B3" s="618"/>
      <c r="C3" s="619"/>
      <c r="D3" s="617" t="s">
        <v>193</v>
      </c>
      <c r="E3" s="618"/>
      <c r="F3" s="619"/>
    </row>
    <row r="4" spans="1:9" s="7" customFormat="1" ht="15.75" customHeight="1">
      <c r="A4" s="90"/>
      <c r="B4" s="624" t="s">
        <v>192</v>
      </c>
      <c r="C4" s="624"/>
      <c r="D4" s="625" t="s">
        <v>723</v>
      </c>
      <c r="E4" s="626"/>
      <c r="F4" s="627"/>
    </row>
    <row r="5" spans="1:9" s="7" customFormat="1" ht="15.75" customHeight="1">
      <c r="A5" s="8" t="s">
        <v>75</v>
      </c>
      <c r="B5" s="620" t="s">
        <v>77</v>
      </c>
      <c r="C5" s="622"/>
      <c r="D5" s="628" t="s">
        <v>724</v>
      </c>
      <c r="E5" s="629"/>
      <c r="F5" s="630"/>
    </row>
    <row r="6" spans="1:9" s="7" customFormat="1" ht="15.75" customHeight="1">
      <c r="A6" s="8"/>
      <c r="B6" s="620" t="s">
        <v>442</v>
      </c>
      <c r="C6" s="622"/>
      <c r="D6" s="94">
        <v>43200</v>
      </c>
      <c r="E6" s="93" t="s">
        <v>443</v>
      </c>
      <c r="F6" s="532">
        <v>43286</v>
      </c>
    </row>
    <row r="7" spans="1:9" s="7" customFormat="1" ht="15.75" customHeight="1">
      <c r="A7" s="8"/>
      <c r="B7" s="631" t="s">
        <v>194</v>
      </c>
      <c r="C7" s="632"/>
      <c r="D7" s="530" t="s">
        <v>725</v>
      </c>
      <c r="E7" s="93" t="s">
        <v>726</v>
      </c>
      <c r="F7" s="531" t="s">
        <v>727</v>
      </c>
    </row>
    <row r="8" spans="1:9" s="7" customFormat="1" ht="15.75" customHeight="1">
      <c r="A8" s="8"/>
      <c r="B8" s="633"/>
      <c r="C8" s="634"/>
      <c r="D8" s="628" t="s">
        <v>728</v>
      </c>
      <c r="E8" s="629"/>
      <c r="F8" s="630"/>
    </row>
    <row r="9" spans="1:9" s="7" customFormat="1" ht="15.75" customHeight="1">
      <c r="A9" s="8"/>
      <c r="B9" s="631" t="s">
        <v>195</v>
      </c>
      <c r="C9" s="632"/>
      <c r="D9" s="530" t="s">
        <v>729</v>
      </c>
      <c r="E9" s="93" t="s">
        <v>730</v>
      </c>
      <c r="F9" s="531" t="s">
        <v>731</v>
      </c>
    </row>
    <row r="10" spans="1:9" s="7" customFormat="1" ht="15.75" customHeight="1">
      <c r="A10" s="8"/>
      <c r="B10" s="654"/>
      <c r="C10" s="655"/>
      <c r="D10" s="628" t="s">
        <v>732</v>
      </c>
      <c r="E10" s="629"/>
      <c r="F10" s="630"/>
    </row>
    <row r="11" spans="1:9" s="7" customFormat="1" ht="15.75" customHeight="1">
      <c r="A11" s="8"/>
      <c r="B11" s="631" t="s">
        <v>191</v>
      </c>
      <c r="C11" s="632"/>
      <c r="D11" s="530" t="s">
        <v>725</v>
      </c>
      <c r="E11" s="93" t="s">
        <v>726</v>
      </c>
      <c r="F11" s="100" t="s">
        <v>727</v>
      </c>
    </row>
    <row r="12" spans="1:9" s="7" customFormat="1" ht="15.75" customHeight="1">
      <c r="A12" s="8"/>
      <c r="B12" s="633"/>
      <c r="C12" s="634"/>
      <c r="D12" s="628" t="s">
        <v>728</v>
      </c>
      <c r="E12" s="629"/>
      <c r="F12" s="630"/>
    </row>
    <row r="13" spans="1:9" s="7" customFormat="1" ht="15.75" customHeight="1">
      <c r="A13" s="8"/>
      <c r="B13" s="620" t="s">
        <v>78</v>
      </c>
      <c r="C13" s="622"/>
      <c r="D13" s="91">
        <v>31106</v>
      </c>
      <c r="E13" s="89" t="s">
        <v>76</v>
      </c>
      <c r="F13" s="414">
        <v>68704.456000000006</v>
      </c>
      <c r="G13" s="96">
        <f>F13*0.3025</f>
        <v>20783.09794</v>
      </c>
      <c r="H13" s="96"/>
      <c r="I13" s="16" t="s">
        <v>202</v>
      </c>
    </row>
    <row r="14" spans="1:9" s="7" customFormat="1" ht="15.75" customHeight="1">
      <c r="A14" s="8"/>
      <c r="B14" s="620" t="s">
        <v>79</v>
      </c>
      <c r="C14" s="622"/>
      <c r="D14" s="641" t="s">
        <v>733</v>
      </c>
      <c r="E14" s="642"/>
      <c r="F14" s="643"/>
    </row>
    <row r="15" spans="1:9" s="7" customFormat="1" ht="15.75" customHeight="1">
      <c r="A15" s="8"/>
      <c r="B15" s="620" t="s">
        <v>196</v>
      </c>
      <c r="C15" s="622"/>
      <c r="D15" s="641" t="s">
        <v>734</v>
      </c>
      <c r="E15" s="642"/>
      <c r="F15" s="643"/>
      <c r="G15" s="81" t="e">
        <f>#REF!</f>
        <v>#REF!</v>
      </c>
      <c r="H15" s="81"/>
    </row>
    <row r="16" spans="1:9" s="7" customFormat="1" ht="15.75" customHeight="1">
      <c r="A16" s="617" t="s">
        <v>22</v>
      </c>
      <c r="B16" s="618"/>
      <c r="C16" s="619"/>
      <c r="D16" s="5" t="s">
        <v>102</v>
      </c>
      <c r="E16" s="5" t="s">
        <v>104</v>
      </c>
      <c r="F16" s="6" t="s">
        <v>19</v>
      </c>
      <c r="G16" s="81"/>
      <c r="H16" s="81"/>
    </row>
    <row r="17" spans="1:18" s="7" customFormat="1" ht="15.75" customHeight="1">
      <c r="A17" s="620" t="s">
        <v>74</v>
      </c>
      <c r="B17" s="621"/>
      <c r="C17" s="622"/>
      <c r="D17" s="92">
        <v>170310912</v>
      </c>
      <c r="E17" s="11">
        <f>D17/D17</f>
        <v>1</v>
      </c>
      <c r="F17" s="12"/>
    </row>
    <row r="18" spans="1:18" s="7" customFormat="1" ht="15.75" customHeight="1">
      <c r="A18" s="8" t="s">
        <v>80</v>
      </c>
      <c r="B18" s="650" t="s">
        <v>82</v>
      </c>
      <c r="C18" s="651"/>
      <c r="D18" s="13">
        <v>44912968</v>
      </c>
      <c r="E18" s="14">
        <f>D18/$D$17</f>
        <v>0.26371162876516097</v>
      </c>
      <c r="F18" s="9"/>
    </row>
    <row r="19" spans="1:18" s="7" customFormat="1" ht="15.75" customHeight="1" thickBot="1">
      <c r="A19" s="8"/>
      <c r="B19" s="652" t="s">
        <v>83</v>
      </c>
      <c r="C19" s="653"/>
      <c r="D19" s="15">
        <v>4104899</v>
      </c>
      <c r="E19" s="14">
        <f>D19/$D$17</f>
        <v>2.4102383997567929E-2</v>
      </c>
      <c r="F19" s="9"/>
    </row>
    <row r="20" spans="1:18" s="7" customFormat="1" ht="15.75" customHeight="1">
      <c r="A20" s="8"/>
      <c r="B20" s="652" t="s">
        <v>84</v>
      </c>
      <c r="C20" s="653"/>
      <c r="D20" s="15">
        <v>63100377</v>
      </c>
      <c r="E20" s="14">
        <f t="shared" ref="E20:E26" si="0">D20/$D$17</f>
        <v>0.37050108098769385</v>
      </c>
      <c r="F20" s="9"/>
      <c r="H20" s="392"/>
      <c r="I20" s="393"/>
      <c r="J20" s="393"/>
      <c r="K20" s="393"/>
      <c r="L20" s="394"/>
      <c r="N20" s="392"/>
      <c r="O20" s="393"/>
      <c r="P20" s="393"/>
      <c r="Q20" s="393"/>
      <c r="R20" s="394"/>
    </row>
    <row r="21" spans="1:18" s="7" customFormat="1" ht="15.75" customHeight="1">
      <c r="A21" s="8"/>
      <c r="B21" s="652" t="s">
        <v>85</v>
      </c>
      <c r="C21" s="653"/>
      <c r="D21" s="15">
        <f>'2.산출총괄표(건축)'!G11</f>
        <v>0</v>
      </c>
      <c r="E21" s="14">
        <f t="shared" si="0"/>
        <v>0</v>
      </c>
      <c r="F21" s="9"/>
      <c r="H21" s="395"/>
      <c r="I21" s="396" t="s">
        <v>177</v>
      </c>
      <c r="J21" s="397"/>
      <c r="K21" s="397"/>
      <c r="L21" s="398"/>
      <c r="N21" s="395"/>
      <c r="O21" s="396" t="s">
        <v>197</v>
      </c>
      <c r="P21" s="397"/>
      <c r="Q21" s="397"/>
      <c r="R21" s="398"/>
    </row>
    <row r="22" spans="1:18" s="7" customFormat="1" ht="15.75" customHeight="1">
      <c r="A22" s="8"/>
      <c r="B22" s="656" t="s">
        <v>86</v>
      </c>
      <c r="C22" s="1" t="s">
        <v>89</v>
      </c>
      <c r="D22" s="15">
        <f>'2.산출총괄표(건축)'!H8</f>
        <v>3491560</v>
      </c>
      <c r="E22" s="14">
        <f t="shared" si="0"/>
        <v>2.0501093905245484E-2</v>
      </c>
      <c r="F22" s="9"/>
      <c r="H22" s="395"/>
      <c r="I22" s="17" t="s">
        <v>153</v>
      </c>
      <c r="J22" s="18" t="s">
        <v>154</v>
      </c>
      <c r="K22" s="397"/>
      <c r="L22" s="398"/>
      <c r="N22" s="395"/>
      <c r="O22" s="95" t="s">
        <v>198</v>
      </c>
      <c r="P22" s="95" t="s">
        <v>199</v>
      </c>
      <c r="Q22" s="397"/>
      <c r="R22" s="398"/>
    </row>
    <row r="23" spans="1:18" s="7" customFormat="1" ht="15.75" customHeight="1">
      <c r="A23" s="8"/>
      <c r="B23" s="657"/>
      <c r="C23" s="1" t="s">
        <v>87</v>
      </c>
      <c r="D23" s="15">
        <f>'2.산출총괄표(건축)'!H9</f>
        <v>1920358</v>
      </c>
      <c r="E23" s="14">
        <f t="shared" si="0"/>
        <v>1.1275601647885016E-2</v>
      </c>
      <c r="F23" s="9"/>
      <c r="H23" s="395"/>
      <c r="I23" s="19">
        <v>2000000</v>
      </c>
      <c r="J23" s="20">
        <v>3.15E-2</v>
      </c>
      <c r="K23" s="397"/>
      <c r="L23" s="398"/>
      <c r="N23" s="395"/>
      <c r="O23" s="95">
        <v>2000000</v>
      </c>
      <c r="P23" s="409">
        <v>12.1</v>
      </c>
      <c r="Q23" s="397"/>
      <c r="R23" s="398"/>
    </row>
    <row r="24" spans="1:18" s="7" customFormat="1" ht="15.75" customHeight="1">
      <c r="A24" s="8"/>
      <c r="B24" s="658"/>
      <c r="C24" s="1" t="s">
        <v>88</v>
      </c>
      <c r="D24" s="15">
        <f>'2.산출총괄표(건축)'!H10</f>
        <v>2496466</v>
      </c>
      <c r="E24" s="14">
        <f t="shared" si="0"/>
        <v>1.4658285665219149E-2</v>
      </c>
      <c r="F24" s="9"/>
      <c r="H24" s="395"/>
      <c r="I24" s="19">
        <v>3000000</v>
      </c>
      <c r="J24" s="20">
        <v>3.0499999999999999E-2</v>
      </c>
      <c r="K24" s="397"/>
      <c r="L24" s="398"/>
      <c r="N24" s="395"/>
      <c r="O24" s="95">
        <v>3000000</v>
      </c>
      <c r="P24" s="409">
        <v>15.5</v>
      </c>
      <c r="Q24" s="397"/>
      <c r="R24" s="398"/>
    </row>
    <row r="25" spans="1:18" s="7" customFormat="1" ht="15.75" customHeight="1">
      <c r="A25" s="8"/>
      <c r="B25" s="652" t="s">
        <v>90</v>
      </c>
      <c r="C25" s="653"/>
      <c r="D25" s="21">
        <f>'2.산출총괄표(건축)'!G12+'2.산출총괄표(건축)'!H12</f>
        <v>1065278</v>
      </c>
      <c r="E25" s="14">
        <f t="shared" si="0"/>
        <v>6.2549016236845703E-3</v>
      </c>
      <c r="F25" s="22"/>
      <c r="H25" s="395"/>
      <c r="I25" s="19">
        <v>5000000</v>
      </c>
      <c r="J25" s="20">
        <v>2.98E-2</v>
      </c>
      <c r="K25" s="397"/>
      <c r="L25" s="398"/>
      <c r="N25" s="395"/>
      <c r="O25" s="95">
        <v>5000000</v>
      </c>
      <c r="P25" s="409">
        <v>19.600000000000001</v>
      </c>
      <c r="Q25" s="397"/>
      <c r="R25" s="398"/>
    </row>
    <row r="26" spans="1:18" s="7" customFormat="1" ht="15.75" customHeight="1">
      <c r="A26" s="8"/>
      <c r="B26" s="652" t="s">
        <v>91</v>
      </c>
      <c r="C26" s="653"/>
      <c r="D26" s="21">
        <f>'2.산출총괄표(건축)'!G13+'2.산출총괄표(건축)'!H13</f>
        <v>201862</v>
      </c>
      <c r="E26" s="14">
        <f t="shared" si="0"/>
        <v>1.1852558220109819E-3</v>
      </c>
      <c r="F26" s="22"/>
      <c r="H26" s="395"/>
      <c r="I26" s="19">
        <v>10000000</v>
      </c>
      <c r="J26" s="20">
        <v>2.8999999999999998E-2</v>
      </c>
      <c r="K26" s="397"/>
      <c r="L26" s="398"/>
      <c r="N26" s="395"/>
      <c r="O26" s="95">
        <v>10000000</v>
      </c>
      <c r="P26" s="409">
        <v>38.1</v>
      </c>
      <c r="Q26" s="397"/>
      <c r="R26" s="398"/>
    </row>
    <row r="27" spans="1:18" s="7" customFormat="1" ht="15.75" customHeight="1">
      <c r="A27" s="8"/>
      <c r="B27" s="652"/>
      <c r="C27" s="653"/>
      <c r="D27" s="15"/>
      <c r="E27" s="15"/>
      <c r="F27" s="9"/>
      <c r="H27" s="395"/>
      <c r="I27" s="19">
        <v>15000000</v>
      </c>
      <c r="J27" s="20">
        <v>2.86E-2</v>
      </c>
      <c r="K27" s="397"/>
      <c r="L27" s="398"/>
      <c r="N27" s="395"/>
      <c r="O27" s="95">
        <v>20000000</v>
      </c>
      <c r="P27" s="409">
        <v>73.8</v>
      </c>
      <c r="Q27" s="397"/>
      <c r="R27" s="398"/>
    </row>
    <row r="28" spans="1:18" s="7" customFormat="1" ht="15.75" customHeight="1">
      <c r="A28" s="23"/>
      <c r="B28" s="633" t="s">
        <v>117</v>
      </c>
      <c r="C28" s="634"/>
      <c r="D28" s="10">
        <f>SUM(D18:D27)</f>
        <v>121293768</v>
      </c>
      <c r="E28" s="24">
        <f>SUM(E18:E27)</f>
        <v>0.71219023241446788</v>
      </c>
      <c r="F28" s="25"/>
      <c r="H28" s="395"/>
      <c r="I28" s="19">
        <v>20000000</v>
      </c>
      <c r="J28" s="20">
        <v>2.8199999999999999E-2</v>
      </c>
      <c r="K28" s="397"/>
      <c r="L28" s="398"/>
      <c r="N28" s="395"/>
      <c r="O28" s="95">
        <v>30000000</v>
      </c>
      <c r="P28" s="409">
        <v>109.9</v>
      </c>
      <c r="Q28" s="397"/>
      <c r="R28" s="398"/>
    </row>
    <row r="29" spans="1:18" s="7" customFormat="1" ht="15.75" customHeight="1">
      <c r="A29" s="620" t="s">
        <v>81</v>
      </c>
      <c r="B29" s="621"/>
      <c r="C29" s="622"/>
      <c r="D29" s="12">
        <f>'2.산출총괄표(건축)'!F14</f>
        <v>49017144</v>
      </c>
      <c r="E29" s="26">
        <f>D29/D17</f>
        <v>0.28780976758553206</v>
      </c>
      <c r="F29" s="502" t="s">
        <v>490</v>
      </c>
      <c r="H29" s="395"/>
      <c r="I29" s="19">
        <v>30000000</v>
      </c>
      <c r="J29" s="354">
        <v>2.69E-2</v>
      </c>
      <c r="K29" s="399" t="s">
        <v>415</v>
      </c>
      <c r="L29" s="400"/>
      <c r="M29" s="355"/>
      <c r="N29" s="395"/>
      <c r="O29" s="95">
        <v>50000000</v>
      </c>
      <c r="P29" s="409">
        <v>163.19999999999999</v>
      </c>
      <c r="Q29" s="397"/>
      <c r="R29" s="398"/>
    </row>
    <row r="30" spans="1:18" s="7" customFormat="1" ht="15.75" customHeight="1">
      <c r="A30" s="620" t="s">
        <v>142</v>
      </c>
      <c r="B30" s="621"/>
      <c r="C30" s="622"/>
      <c r="D30" s="27">
        <f ca="1">'2.산출총괄표(건축)'!G16</f>
        <v>1178715</v>
      </c>
      <c r="E30" s="28"/>
      <c r="F30" s="29">
        <f ca="1">D36</f>
        <v>2.4046999999999999E-2</v>
      </c>
      <c r="G30" s="101">
        <f ca="1">D30/(F13*0.3025)</f>
        <v>56.715077001653199</v>
      </c>
      <c r="H30" s="401"/>
      <c r="I30" s="19">
        <v>50000000</v>
      </c>
      <c r="J30" s="354">
        <v>2.3900000000000001E-2</v>
      </c>
      <c r="K30" s="397"/>
      <c r="L30" s="398"/>
      <c r="N30" s="395"/>
      <c r="O30" s="95">
        <v>100000000</v>
      </c>
      <c r="P30" s="409">
        <v>277</v>
      </c>
      <c r="Q30" s="397"/>
      <c r="R30" s="398"/>
    </row>
    <row r="31" spans="1:18" s="7" customFormat="1" ht="15.75" customHeight="1">
      <c r="A31" s="620" t="s">
        <v>147</v>
      </c>
      <c r="B31" s="621"/>
      <c r="C31" s="622"/>
      <c r="D31" s="12">
        <f ca="1">ROUND(D30*1.1,0)</f>
        <v>1296587</v>
      </c>
      <c r="E31" s="28"/>
      <c r="F31" s="29"/>
      <c r="G31" s="101">
        <f ca="1">D31/(F13*0.3025)</f>
        <v>62.386608759829578</v>
      </c>
      <c r="H31" s="401"/>
      <c r="I31" s="19">
        <v>100000000</v>
      </c>
      <c r="J31" s="354">
        <v>2.3300000000000001E-2</v>
      </c>
      <c r="K31" s="397"/>
      <c r="L31" s="398"/>
      <c r="N31" s="395"/>
      <c r="O31" s="95">
        <v>200000000</v>
      </c>
      <c r="P31" s="409">
        <v>472</v>
      </c>
      <c r="Q31" s="397"/>
      <c r="R31" s="398"/>
    </row>
    <row r="32" spans="1:18" s="7" customFormat="1" ht="15.75" customHeight="1">
      <c r="A32" s="30" t="s">
        <v>97</v>
      </c>
      <c r="F32" s="4"/>
      <c r="H32" s="395"/>
      <c r="I32" s="19">
        <v>200000000</v>
      </c>
      <c r="J32" s="354">
        <v>2.3E-2</v>
      </c>
      <c r="K32" s="397"/>
      <c r="L32" s="398"/>
      <c r="N32" s="395"/>
      <c r="O32" s="95">
        <v>300000000</v>
      </c>
      <c r="P32" s="409">
        <v>645.20000000000005</v>
      </c>
      <c r="Q32" s="397"/>
      <c r="R32" s="398"/>
    </row>
    <row r="33" spans="1:18" s="7" customFormat="1" ht="15.75" customHeight="1">
      <c r="A33" s="648" t="s">
        <v>93</v>
      </c>
      <c r="B33" s="648"/>
      <c r="C33" s="648"/>
      <c r="D33" s="6" t="s">
        <v>94</v>
      </c>
      <c r="E33" s="617" t="s">
        <v>95</v>
      </c>
      <c r="F33" s="619"/>
      <c r="H33" s="395"/>
      <c r="I33" s="19">
        <v>300000000</v>
      </c>
      <c r="J33" s="354">
        <v>2.24E-2</v>
      </c>
      <c r="K33" s="397"/>
      <c r="L33" s="398"/>
      <c r="N33" s="395"/>
      <c r="O33" s="95"/>
      <c r="P33" s="409"/>
      <c r="Q33" s="397"/>
      <c r="R33" s="398"/>
    </row>
    <row r="34" spans="1:18" s="7" customFormat="1" ht="15.75" customHeight="1">
      <c r="A34" s="649" t="s">
        <v>96</v>
      </c>
      <c r="B34" s="649"/>
      <c r="C34" s="649"/>
      <c r="D34" s="31">
        <f>J36</f>
        <v>2.69E-2</v>
      </c>
      <c r="E34" s="644">
        <f>I36/100000</f>
        <v>300</v>
      </c>
      <c r="F34" s="645"/>
      <c r="H34" s="395"/>
      <c r="I34" s="397"/>
      <c r="J34" s="397"/>
      <c r="K34" s="397"/>
      <c r="L34" s="398"/>
      <c r="N34" s="395"/>
      <c r="O34" s="397"/>
      <c r="P34" s="397"/>
      <c r="Q34" s="397"/>
      <c r="R34" s="398"/>
    </row>
    <row r="35" spans="1:18" s="7" customFormat="1" ht="15.75" customHeight="1">
      <c r="A35" s="649"/>
      <c r="B35" s="649"/>
      <c r="C35" s="649"/>
      <c r="D35" s="32">
        <f ca="1">J38</f>
        <v>2.3900000000000001E-2</v>
      </c>
      <c r="E35" s="646">
        <f ca="1">I38/100000</f>
        <v>500</v>
      </c>
      <c r="F35" s="647"/>
      <c r="H35" s="395"/>
      <c r="I35" s="33" t="s">
        <v>148</v>
      </c>
      <c r="J35" s="34" t="s">
        <v>18</v>
      </c>
      <c r="K35" s="34" t="s">
        <v>152</v>
      </c>
      <c r="L35" s="402"/>
      <c r="M35" s="103"/>
      <c r="N35" s="395"/>
      <c r="O35" s="33" t="s">
        <v>148</v>
      </c>
      <c r="P35" s="34" t="s">
        <v>18</v>
      </c>
      <c r="Q35" s="34" t="s">
        <v>152</v>
      </c>
      <c r="R35" s="398"/>
    </row>
    <row r="36" spans="1:18" s="7" customFormat="1" ht="15.75" customHeight="1">
      <c r="A36" s="649" t="s">
        <v>98</v>
      </c>
      <c r="B36" s="649"/>
      <c r="C36" s="649"/>
      <c r="D36" s="83">
        <f ca="1">F39</f>
        <v>2.4046999999999999E-2</v>
      </c>
      <c r="E36" s="620" t="s">
        <v>92</v>
      </c>
      <c r="F36" s="622"/>
      <c r="H36" s="395"/>
      <c r="I36" s="33">
        <f>VLOOKUP(I37,I23:J33,1)</f>
        <v>30000000</v>
      </c>
      <c r="J36" s="35">
        <f>VLOOKUP(I37,I23:J33,2)</f>
        <v>2.69E-2</v>
      </c>
      <c r="K36" s="36" t="s">
        <v>150</v>
      </c>
      <c r="L36" s="403"/>
      <c r="M36" s="390"/>
      <c r="N36" s="395"/>
      <c r="O36" s="33">
        <f>VLOOKUP(O37,O23:P33,1)</f>
        <v>30000000</v>
      </c>
      <c r="P36" s="97">
        <f>VLOOKUP(O37,O23:P33,2)</f>
        <v>109.9</v>
      </c>
      <c r="Q36" s="36" t="s">
        <v>150</v>
      </c>
      <c r="R36" s="398"/>
    </row>
    <row r="37" spans="1:18" s="38" customFormat="1" ht="15.75" customHeight="1">
      <c r="A37" s="37" t="s">
        <v>99</v>
      </c>
      <c r="H37" s="404"/>
      <c r="I37" s="39">
        <f>D29</f>
        <v>49017144</v>
      </c>
      <c r="J37" s="82">
        <f ca="1">ROUND(J36-((D29-I36)*(J36-J38)/(I38-I36)),6)</f>
        <v>2.4046999999999999E-2</v>
      </c>
      <c r="K37" s="40" t="s">
        <v>176</v>
      </c>
      <c r="L37" s="405"/>
      <c r="M37" s="391"/>
      <c r="N37" s="404"/>
      <c r="O37" s="39">
        <f>D29</f>
        <v>49017144</v>
      </c>
      <c r="P37" s="87">
        <f ca="1">ROUND(P36-((D29-O36)*(P36-P38)/(O38-O36)),4)</f>
        <v>160.58070000000001</v>
      </c>
      <c r="Q37" s="40" t="s">
        <v>176</v>
      </c>
      <c r="R37" s="402"/>
    </row>
    <row r="38" spans="1:18" s="38" customFormat="1" ht="15.75" customHeight="1">
      <c r="A38" s="37" t="str">
        <f ca="1">"당해요율 = "&amp;E34&amp;"억원요율 - ((당해공사비 - "&amp;E34&amp;"억원)*("&amp;E34&amp;"억원 요율 - "&amp;E35&amp;"억원 요율)/("&amp;E35&amp;"억원-"&amp;E34&amp;"억원)"</f>
        <v>당해요율 = 300억원요율 - ((당해공사비 - 300억원)*(300억원 요율 - 500억원 요율)/(500억원-300억원)</v>
      </c>
      <c r="H38" s="404"/>
      <c r="I38" s="33">
        <f ca="1">OFFSET(I$22,MATCH(I36,I23:I33,0)+1,0)</f>
        <v>50000000</v>
      </c>
      <c r="J38" s="35">
        <f ca="1">OFFSET(J$22,MATCH(J36,J23:J33,0)+1,0)</f>
        <v>2.3900000000000001E-2</v>
      </c>
      <c r="K38" s="36" t="s">
        <v>151</v>
      </c>
      <c r="L38" s="403"/>
      <c r="M38" s="390"/>
      <c r="N38" s="404"/>
      <c r="O38" s="33">
        <f ca="1">OFFSET(O$22,MATCH(O36,O23:O33,0)+1,0)</f>
        <v>50000000</v>
      </c>
      <c r="P38" s="97">
        <f ca="1">OFFSET(P$22,MATCH(P36,P23:P33,0)+1,0)</f>
        <v>163.19999999999999</v>
      </c>
      <c r="Q38" s="36" t="s">
        <v>151</v>
      </c>
      <c r="R38" s="402"/>
    </row>
    <row r="39" spans="1:18" s="38" customFormat="1" ht="15.75" customHeight="1" thickBot="1">
      <c r="A39" s="41"/>
      <c r="B39" s="41" t="str">
        <f>J36*100&amp;"%-(("</f>
        <v>2.69%-((</v>
      </c>
      <c r="C39" s="42" t="str">
        <f>D29/100000&amp;"억원"</f>
        <v>490.17144억원</v>
      </c>
      <c r="D39" s="37" t="str">
        <f ca="1">"-"&amp;E34&amp;"억원)*("&amp;J36*100&amp;"%-"&amp;J38*100&amp;"%)/("&amp;E35&amp;"억원-"&amp;E34&amp;"억원))="</f>
        <v>-300억원)*(2.69%-2.39%)/(500억원-300억원))=</v>
      </c>
      <c r="F39" s="503">
        <f ca="1">ROUND(J36-((D29-I36)*(J36-J38)/(I38-I36)),6)</f>
        <v>2.4046999999999999E-2</v>
      </c>
      <c r="H39" s="406"/>
      <c r="I39" s="407"/>
      <c r="J39" s="407" t="s">
        <v>92</v>
      </c>
      <c r="K39" s="407"/>
      <c r="L39" s="408"/>
      <c r="N39" s="406"/>
      <c r="O39" s="407"/>
      <c r="P39" s="407" t="s">
        <v>92</v>
      </c>
      <c r="Q39" s="407"/>
      <c r="R39" s="408"/>
    </row>
    <row r="40" spans="1:18" s="38" customFormat="1" ht="15.75" customHeight="1">
      <c r="A40" s="37" t="s">
        <v>200</v>
      </c>
      <c r="B40" s="41"/>
      <c r="C40" s="42"/>
      <c r="F40" s="88"/>
    </row>
    <row r="41" spans="1:18" s="38" customFormat="1" ht="15.75" customHeight="1">
      <c r="A41" s="37" t="str">
        <f ca="1">"감리인.월수 = "&amp;O38/100000&amp;"억원 인.월수 - (( "&amp;O38/100000&amp;"억원 - 당해공사비)*("&amp;O38/100000&amp;"억원 인.월수 - "&amp;O36/100000&amp;"억원 인.월수)/("&amp;O38/100000&amp;"억원-"&amp;O36/100000&amp;"억원)"</f>
        <v>감리인.월수 = 500억원 인.월수 - (( 500억원 - 당해공사비)*(500억원 인.월수 - 300억원 인.월수)/(500억원-300억원)</v>
      </c>
    </row>
    <row r="42" spans="1:18" s="38" customFormat="1" ht="15.75" customHeight="1">
      <c r="A42" s="41"/>
      <c r="B42" s="41" t="str">
        <f ca="1">P38&amp;"인월-(("</f>
        <v>163.2인월-((</v>
      </c>
      <c r="C42" s="98" t="str">
        <f ca="1">O38/100000&amp;"억원 - "</f>
        <v xml:space="preserve">500억원 - </v>
      </c>
      <c r="D42" s="37" t="str">
        <f ca="1">D29/100000&amp;"억원)*("&amp;P38&amp;"-"&amp;P36&amp;")/("&amp;O38/100000&amp;"억원-"&amp;O36/100000&amp;"억원))="</f>
        <v>490.17144억원)*(163.2-109.9)/(500억원-300억원))=</v>
      </c>
      <c r="F42" s="99">
        <f ca="1">ROUND(P38-((O38-D29)*(P38-P36)/(O38-O36)),2)</f>
        <v>160.58000000000001</v>
      </c>
      <c r="I42" s="44">
        <f ca="1">(J37-J36)/(I37-I36)</f>
        <v>-1.5002252704191552E-10</v>
      </c>
    </row>
    <row r="43" spans="1:18" s="38" customFormat="1" ht="15.75" customHeight="1">
      <c r="A43" s="37" t="s">
        <v>105</v>
      </c>
      <c r="C43" s="37" t="s">
        <v>106</v>
      </c>
      <c r="F43" s="4" t="s">
        <v>737</v>
      </c>
      <c r="I43" s="44">
        <f ca="1">(J38-J37)/(I38-I37)</f>
        <v>-1.4956412740014592E-10</v>
      </c>
    </row>
    <row r="44" spans="1:18" s="38" customFormat="1" ht="15.75" customHeight="1">
      <c r="A44" s="637" t="s">
        <v>107</v>
      </c>
      <c r="B44" s="638"/>
      <c r="C44" s="45" t="s">
        <v>108</v>
      </c>
      <c r="D44" s="45" t="s">
        <v>109</v>
      </c>
      <c r="E44" s="637" t="s">
        <v>110</v>
      </c>
      <c r="F44" s="638"/>
      <c r="I44" s="44">
        <f ca="1">(J38-J36)/(I38-I36)</f>
        <v>-1.4999999999999995E-10</v>
      </c>
    </row>
    <row r="45" spans="1:18" s="38" customFormat="1" ht="15.75" customHeight="1">
      <c r="A45" s="635">
        <f>'2.산출총괄표(건축)'!D14</f>
        <v>58192668</v>
      </c>
      <c r="B45" s="636"/>
      <c r="C45" s="415">
        <v>4.6756385058925876E-3</v>
      </c>
      <c r="D45" s="46">
        <f ca="1">'2.산출총괄표(건축)'!D15+'2.산출총괄표(건축)'!D16+'2.산출총괄표(건축)'!D17+'2.산출총괄표(건축)'!D20</f>
        <v>40776905</v>
      </c>
      <c r="E45" s="639">
        <f ca="1">ROUNDDOWN((A45*C45+D45)*0.1,0)</f>
        <v>4104899</v>
      </c>
      <c r="F45" s="640"/>
    </row>
    <row r="46" spans="1:18" s="38" customFormat="1" ht="21" customHeight="1">
      <c r="A46" s="37"/>
      <c r="G46" s="103"/>
      <c r="H46" s="103"/>
      <c r="I46" s="103"/>
      <c r="J46" s="103"/>
      <c r="K46" s="103"/>
      <c r="L46" s="103"/>
      <c r="M46" s="103"/>
    </row>
    <row r="47" spans="1:18" s="38" customFormat="1" ht="21.95" hidden="1" customHeight="1">
      <c r="A47" s="37"/>
      <c r="C47" s="43" t="s">
        <v>435</v>
      </c>
      <c r="D47" s="38" t="s">
        <v>436</v>
      </c>
      <c r="G47" s="103"/>
      <c r="H47" s="103"/>
      <c r="I47" s="103"/>
      <c r="J47" s="103"/>
      <c r="K47" s="103"/>
      <c r="L47" s="103"/>
      <c r="M47" s="103"/>
    </row>
    <row r="48" spans="1:18" s="38" customFormat="1" ht="17.25" hidden="1" customHeight="1">
      <c r="A48" s="37"/>
      <c r="C48" s="386" t="s">
        <v>438</v>
      </c>
      <c r="D48" s="387" t="e">
        <f>D55-D53</f>
        <v>#REF!</v>
      </c>
      <c r="E48" s="415" t="e">
        <f>D48/$D$54</f>
        <v>#REF!</v>
      </c>
      <c r="F48" s="34" t="s">
        <v>430</v>
      </c>
      <c r="G48" s="103"/>
      <c r="H48" s="103"/>
      <c r="I48" s="103"/>
      <c r="J48" s="103"/>
      <c r="K48" s="103"/>
      <c r="L48" s="103"/>
      <c r="M48" s="103"/>
    </row>
    <row r="49" spans="1:14" s="38" customFormat="1" ht="17.25" hidden="1" customHeight="1">
      <c r="A49" s="37"/>
      <c r="C49" s="386" t="s">
        <v>437</v>
      </c>
      <c r="D49" s="387">
        <v>0</v>
      </c>
      <c r="E49" s="35" t="e">
        <f t="shared" ref="E49:E55" si="1">D49/$D$54</f>
        <v>#REF!</v>
      </c>
      <c r="F49" s="34" t="s">
        <v>439</v>
      </c>
      <c r="G49" s="103"/>
      <c r="H49" s="103"/>
      <c r="I49" s="103"/>
      <c r="J49" s="103"/>
      <c r="K49" s="103"/>
      <c r="L49" s="103"/>
      <c r="M49" s="103"/>
    </row>
    <row r="50" spans="1:14" s="38" customFormat="1" ht="17.25" hidden="1" customHeight="1">
      <c r="A50" s="37"/>
      <c r="C50" s="386"/>
      <c r="D50" s="387"/>
      <c r="E50" s="35" t="e">
        <f t="shared" si="1"/>
        <v>#REF!</v>
      </c>
      <c r="F50" s="34"/>
      <c r="G50" s="103"/>
      <c r="H50" s="103"/>
      <c r="I50" s="103"/>
      <c r="J50" s="103"/>
      <c r="K50" s="103"/>
      <c r="L50" s="103"/>
      <c r="M50" s="103"/>
    </row>
    <row r="51" spans="1:14" s="38" customFormat="1" ht="17.25" hidden="1" customHeight="1">
      <c r="C51" s="34" t="s">
        <v>427</v>
      </c>
      <c r="D51" s="387">
        <v>0</v>
      </c>
      <c r="E51" s="35" t="e">
        <f t="shared" si="1"/>
        <v>#REF!</v>
      </c>
      <c r="F51" s="34" t="s">
        <v>439</v>
      </c>
      <c r="G51" s="103"/>
      <c r="H51" s="103"/>
      <c r="I51" s="103"/>
      <c r="J51" s="103"/>
      <c r="K51" s="103"/>
      <c r="L51" s="103"/>
      <c r="M51" s="103"/>
    </row>
    <row r="52" spans="1:14" s="7" customFormat="1" ht="17.25" hidden="1" customHeight="1">
      <c r="C52" s="385" t="s">
        <v>428</v>
      </c>
      <c r="D52" s="388">
        <v>0</v>
      </c>
      <c r="E52" s="35" t="e">
        <f t="shared" si="1"/>
        <v>#REF!</v>
      </c>
      <c r="F52" s="385" t="s">
        <v>439</v>
      </c>
      <c r="G52" s="103"/>
      <c r="H52" s="103"/>
      <c r="I52" s="103"/>
      <c r="J52" s="103"/>
      <c r="K52" s="103"/>
      <c r="L52" s="103"/>
      <c r="M52" s="103"/>
    </row>
    <row r="53" spans="1:14" s="7" customFormat="1" ht="17.25" hidden="1" customHeight="1">
      <c r="C53" s="385" t="s">
        <v>429</v>
      </c>
      <c r="D53" s="388">
        <v>321.23719999999997</v>
      </c>
      <c r="E53" s="504" t="e">
        <f t="shared" si="1"/>
        <v>#REF!</v>
      </c>
      <c r="F53" s="385" t="s">
        <v>439</v>
      </c>
      <c r="G53" s="103"/>
      <c r="H53" s="103"/>
      <c r="I53" s="103"/>
      <c r="J53" s="103"/>
      <c r="K53" s="103"/>
      <c r="L53" s="103"/>
      <c r="M53" s="103"/>
      <c r="N53" s="102"/>
    </row>
    <row r="54" spans="1:14" s="7" customFormat="1" ht="17.25" hidden="1" customHeight="1">
      <c r="C54" s="385" t="s">
        <v>149</v>
      </c>
      <c r="D54" s="389" t="e">
        <f>SUM(D48:D53)</f>
        <v>#REF!</v>
      </c>
      <c r="E54" s="35" t="e">
        <f t="shared" si="1"/>
        <v>#REF!</v>
      </c>
      <c r="F54" s="385"/>
      <c r="G54" s="103"/>
      <c r="H54" s="103"/>
      <c r="I54" s="103"/>
      <c r="J54" s="103"/>
      <c r="K54" s="103"/>
      <c r="L54" s="103"/>
      <c r="M54" s="103"/>
    </row>
    <row r="55" spans="1:14" s="7" customFormat="1" ht="21.95" hidden="1" customHeight="1">
      <c r="C55" s="385" t="s">
        <v>178</v>
      </c>
      <c r="D55" s="388" t="e">
        <f>#REF!</f>
        <v>#REF!</v>
      </c>
      <c r="E55" s="385" t="e">
        <f t="shared" si="1"/>
        <v>#REF!</v>
      </c>
      <c r="F55" s="385"/>
      <c r="G55" s="103"/>
      <c r="H55" s="103"/>
      <c r="I55" s="103"/>
      <c r="J55" s="103"/>
      <c r="K55" s="103"/>
      <c r="L55" s="103"/>
      <c r="M55" s="103"/>
    </row>
    <row r="56" spans="1:14" s="7" customFormat="1" ht="21.95" customHeight="1">
      <c r="G56" s="103"/>
      <c r="H56" s="103"/>
      <c r="I56" s="103"/>
      <c r="J56" s="103"/>
      <c r="K56" s="103"/>
      <c r="L56" s="103"/>
      <c r="M56" s="103"/>
    </row>
    <row r="57" spans="1:14" s="7" customFormat="1" ht="21.95" customHeight="1">
      <c r="G57" s="103"/>
      <c r="H57" s="103"/>
      <c r="I57" s="103"/>
      <c r="J57" s="103"/>
      <c r="K57" s="103"/>
      <c r="L57" s="103"/>
      <c r="M57" s="103"/>
    </row>
    <row r="58" spans="1:14" s="7" customFormat="1" ht="20.100000000000001" customHeight="1">
      <c r="G58" s="103"/>
      <c r="H58" s="103"/>
      <c r="I58" s="103"/>
      <c r="J58" s="103"/>
      <c r="K58" s="103"/>
      <c r="L58" s="103"/>
      <c r="M58" s="103"/>
    </row>
    <row r="59" spans="1:14" s="7" customFormat="1" ht="20.100000000000001" customHeight="1">
      <c r="G59" s="103"/>
      <c r="H59" s="103"/>
      <c r="I59" s="103"/>
      <c r="J59" s="103"/>
      <c r="K59" s="103"/>
      <c r="L59" s="103"/>
      <c r="M59" s="103"/>
    </row>
    <row r="60" spans="1:14" s="7" customFormat="1" ht="20.100000000000001" customHeight="1">
      <c r="G60" s="103"/>
      <c r="H60" s="103"/>
      <c r="I60" s="103"/>
      <c r="J60" s="103"/>
      <c r="K60" s="103"/>
      <c r="L60" s="103"/>
      <c r="M60" s="103"/>
    </row>
    <row r="61" spans="1:14" s="7" customFormat="1" ht="20.100000000000001" customHeight="1">
      <c r="G61" s="103"/>
      <c r="H61" s="103"/>
      <c r="I61" s="103"/>
      <c r="J61" s="103"/>
      <c r="K61" s="103"/>
      <c r="L61" s="103"/>
      <c r="M61" s="103"/>
    </row>
    <row r="62" spans="1:14" s="7" customFormat="1" ht="20.100000000000001" customHeight="1">
      <c r="G62" s="103"/>
      <c r="H62" s="103"/>
      <c r="I62" s="103"/>
      <c r="J62" s="103"/>
      <c r="K62" s="103"/>
      <c r="L62" s="103"/>
      <c r="M62" s="103"/>
    </row>
    <row r="63" spans="1:14" s="7" customFormat="1" ht="20.100000000000001" customHeight="1">
      <c r="G63" s="103"/>
      <c r="H63" s="103"/>
      <c r="I63" s="103"/>
      <c r="J63" s="103"/>
      <c r="K63" s="103"/>
      <c r="L63" s="103"/>
      <c r="M63" s="103"/>
    </row>
    <row r="64" spans="1:14" s="7" customFormat="1" ht="20.100000000000001" customHeight="1"/>
  </sheetData>
  <mergeCells count="44">
    <mergeCell ref="A44:B44"/>
    <mergeCell ref="A36:C36"/>
    <mergeCell ref="B25:C25"/>
    <mergeCell ref="B26:C26"/>
    <mergeCell ref="D8:F8"/>
    <mergeCell ref="D10:F10"/>
    <mergeCell ref="B9:C10"/>
    <mergeCell ref="D14:F14"/>
    <mergeCell ref="B20:C20"/>
    <mergeCell ref="B21:C21"/>
    <mergeCell ref="B22:B24"/>
    <mergeCell ref="B27:C27"/>
    <mergeCell ref="A16:C16"/>
    <mergeCell ref="A45:B45"/>
    <mergeCell ref="E44:F44"/>
    <mergeCell ref="E45:F45"/>
    <mergeCell ref="A30:C30"/>
    <mergeCell ref="D15:F15"/>
    <mergeCell ref="E33:F33"/>
    <mergeCell ref="E34:F34"/>
    <mergeCell ref="B28:C28"/>
    <mergeCell ref="A31:C31"/>
    <mergeCell ref="A29:C29"/>
    <mergeCell ref="E35:F35"/>
    <mergeCell ref="E36:F36"/>
    <mergeCell ref="A33:C33"/>
    <mergeCell ref="A34:C35"/>
    <mergeCell ref="B18:C18"/>
    <mergeCell ref="B19:C19"/>
    <mergeCell ref="D3:F3"/>
    <mergeCell ref="A17:C17"/>
    <mergeCell ref="A1:F1"/>
    <mergeCell ref="A3:C3"/>
    <mergeCell ref="B5:C5"/>
    <mergeCell ref="B13:C13"/>
    <mergeCell ref="B4:C4"/>
    <mergeCell ref="D4:F4"/>
    <mergeCell ref="D5:F5"/>
    <mergeCell ref="B6:C6"/>
    <mergeCell ref="D12:F12"/>
    <mergeCell ref="B7:C8"/>
    <mergeCell ref="B11:C12"/>
    <mergeCell ref="B14:C14"/>
    <mergeCell ref="B15:C15"/>
  </mergeCells>
  <phoneticPr fontId="3" type="noConversion"/>
  <pageMargins left="0.26" right="0.24" top="0.67" bottom="0.24" header="0.5" footer="0.2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L51"/>
  <sheetViews>
    <sheetView tabSelected="1" view="pageBreakPreview" zoomScale="70" zoomScaleSheetLayoutView="70" workbookViewId="0">
      <selection activeCell="H33" sqref="H33"/>
    </sheetView>
  </sheetViews>
  <sheetFormatPr defaultRowHeight="20.100000000000001" customHeight="1"/>
  <cols>
    <col min="1" max="1" width="7.88671875" style="48" customWidth="1"/>
    <col min="2" max="2" width="6.5546875" style="48" customWidth="1"/>
    <col min="3" max="3" width="10.33203125" style="48" bestFit="1" customWidth="1"/>
    <col min="4" max="4" width="14.33203125" style="335" customWidth="1"/>
    <col min="5" max="5" width="7.33203125" style="107" customWidth="1"/>
    <col min="6" max="7" width="14.6640625" style="48" customWidth="1"/>
    <col min="8" max="8" width="15.5546875" style="48" customWidth="1"/>
    <col min="9" max="16384" width="8.88671875" style="48"/>
  </cols>
  <sheetData>
    <row r="1" spans="1:8" ht="20.100000000000001" customHeight="1">
      <c r="A1" s="47" t="s">
        <v>20</v>
      </c>
    </row>
    <row r="2" spans="1:8" ht="25.5" customHeight="1">
      <c r="A2" s="665" t="s">
        <v>103</v>
      </c>
      <c r="B2" s="665"/>
      <c r="C2" s="665"/>
      <c r="D2" s="665"/>
      <c r="E2" s="665"/>
      <c r="F2" s="665"/>
      <c r="G2" s="665"/>
      <c r="H2" s="665"/>
    </row>
    <row r="3" spans="1:8" ht="21" customHeight="1">
      <c r="A3" s="49"/>
      <c r="B3" s="49"/>
      <c r="C3" s="49"/>
      <c r="D3" s="410"/>
      <c r="E3" s="108"/>
      <c r="F3" s="49"/>
      <c r="G3" s="49"/>
      <c r="H3" s="50" t="s">
        <v>201</v>
      </c>
    </row>
    <row r="4" spans="1:8" s="52" customFormat="1" ht="22.9" customHeight="1">
      <c r="A4" s="666" t="s">
        <v>111</v>
      </c>
      <c r="B4" s="666"/>
      <c r="C4" s="666"/>
      <c r="D4" s="411" t="s">
        <v>112</v>
      </c>
      <c r="E4" s="109" t="s">
        <v>113</v>
      </c>
      <c r="F4" s="51" t="s">
        <v>114</v>
      </c>
      <c r="G4" s="51" t="s">
        <v>115</v>
      </c>
      <c r="H4" s="51" t="s">
        <v>116</v>
      </c>
    </row>
    <row r="5" spans="1:8" s="52" customFormat="1" ht="22.9" customHeight="1">
      <c r="A5" s="661" t="s">
        <v>155</v>
      </c>
      <c r="B5" s="661" t="s">
        <v>156</v>
      </c>
      <c r="C5" s="80" t="s">
        <v>157</v>
      </c>
      <c r="D5" s="360">
        <f>'3.구성현황표(건축)'!D19</f>
        <v>4015294</v>
      </c>
      <c r="E5" s="110">
        <f ca="1">D5/D24</f>
        <v>2.3576257991032308E-2</v>
      </c>
      <c r="F5" s="56">
        <f>'3.구성현황표(건축)'!E19</f>
        <v>4015294</v>
      </c>
      <c r="G5" s="56">
        <f>'3.구성현황표(건축)'!F19</f>
        <v>0</v>
      </c>
      <c r="H5" s="56">
        <f>'3.구성현황표(건축)'!G19</f>
        <v>0</v>
      </c>
    </row>
    <row r="6" spans="1:8" s="52" customFormat="1" ht="22.9" customHeight="1">
      <c r="A6" s="661"/>
      <c r="B6" s="661"/>
      <c r="C6" s="80" t="s">
        <v>158</v>
      </c>
      <c r="D6" s="360">
        <f>'3.구성현황표(건축)'!D48</f>
        <v>32296931</v>
      </c>
      <c r="E6" s="110">
        <f ca="1">D6/$D$24</f>
        <v>0.18963512449513512</v>
      </c>
      <c r="F6" s="56">
        <f>'3.구성현황표(건축)'!E48</f>
        <v>32296931</v>
      </c>
      <c r="G6" s="56">
        <f>'3.구성현황표(건축)'!F48</f>
        <v>0</v>
      </c>
      <c r="H6" s="56">
        <f>'3.구성현황표(건축)'!G48</f>
        <v>0</v>
      </c>
    </row>
    <row r="7" spans="1:8" s="52" customFormat="1" ht="22.9" customHeight="1">
      <c r="A7" s="661"/>
      <c r="B7" s="661"/>
      <c r="C7" s="80" t="s">
        <v>159</v>
      </c>
      <c r="D7" s="360">
        <f>'3.구성현황표(건축)'!D60</f>
        <v>5935651</v>
      </c>
      <c r="E7" s="110">
        <f t="shared" ref="E7:E13" ca="1" si="0">D7/$D$24</f>
        <v>3.4851853767302945E-2</v>
      </c>
      <c r="F7" s="56">
        <f>'3.구성현황표(건축)'!E60</f>
        <v>5935651</v>
      </c>
      <c r="G7" s="56">
        <f>'3.구성현황표(건축)'!F60</f>
        <v>0</v>
      </c>
      <c r="H7" s="56">
        <f>'3.구성현황표(건축)'!G60</f>
        <v>0</v>
      </c>
    </row>
    <row r="8" spans="1:8" s="52" customFormat="1" ht="22.9" customHeight="1">
      <c r="A8" s="661"/>
      <c r="B8" s="661"/>
      <c r="C8" s="80" t="s">
        <v>160</v>
      </c>
      <c r="D8" s="360">
        <f>'3.구성현황표(건축)'!D61</f>
        <v>3491560</v>
      </c>
      <c r="E8" s="110">
        <f t="shared" ca="1" si="0"/>
        <v>2.0501093905245484E-2</v>
      </c>
      <c r="F8" s="56">
        <f>'3.구성현황표(건축)'!E61</f>
        <v>0</v>
      </c>
      <c r="G8" s="56">
        <f>'3.구성현황표(건축)'!F61</f>
        <v>0</v>
      </c>
      <c r="H8" s="56">
        <f>'3.구성현황표(건축)'!G61</f>
        <v>3491560</v>
      </c>
    </row>
    <row r="9" spans="1:8" s="52" customFormat="1" ht="22.9" customHeight="1">
      <c r="A9" s="661"/>
      <c r="B9" s="661"/>
      <c r="C9" s="80" t="s">
        <v>161</v>
      </c>
      <c r="D9" s="360">
        <f>'3.구성현황표(건축)'!D62</f>
        <v>1920358</v>
      </c>
      <c r="E9" s="110">
        <f t="shared" ca="1" si="0"/>
        <v>1.1275601647885016E-2</v>
      </c>
      <c r="F9" s="56">
        <f>'3.구성현황표(건축)'!E62</f>
        <v>0</v>
      </c>
      <c r="G9" s="56">
        <f>'3.구성현황표(건축)'!F62</f>
        <v>0</v>
      </c>
      <c r="H9" s="56">
        <f>'3.구성현황표(건축)'!G62</f>
        <v>1920358</v>
      </c>
    </row>
    <row r="10" spans="1:8" s="52" customFormat="1" ht="22.9" customHeight="1">
      <c r="A10" s="661"/>
      <c r="B10" s="661"/>
      <c r="C10" s="80" t="s">
        <v>162</v>
      </c>
      <c r="D10" s="360">
        <f>'3.구성현황표(건축)'!D63</f>
        <v>2496466</v>
      </c>
      <c r="E10" s="110">
        <f t="shared" ca="1" si="0"/>
        <v>1.4658285665219149E-2</v>
      </c>
      <c r="F10" s="56">
        <f>'3.구성현황표(건축)'!E63</f>
        <v>0</v>
      </c>
      <c r="G10" s="56">
        <f>'3.구성현황표(건축)'!F63</f>
        <v>0</v>
      </c>
      <c r="H10" s="56">
        <f>'3.구성현황표(건축)'!G63</f>
        <v>2496466</v>
      </c>
    </row>
    <row r="11" spans="1:8" s="52" customFormat="1" ht="22.9" customHeight="1">
      <c r="A11" s="661"/>
      <c r="B11" s="662"/>
      <c r="C11" s="533" t="s">
        <v>163</v>
      </c>
      <c r="D11" s="360">
        <f>SUM(D5:D10)</f>
        <v>50156260</v>
      </c>
      <c r="E11" s="110">
        <f t="shared" ca="1" si="0"/>
        <v>0.29449821747182003</v>
      </c>
      <c r="F11" s="56">
        <f>SUM(F5:F10)</f>
        <v>42247876</v>
      </c>
      <c r="G11" s="56">
        <f>SUM(G5:G10)</f>
        <v>0</v>
      </c>
      <c r="H11" s="56">
        <f>SUM(H5:H10)</f>
        <v>7908384</v>
      </c>
    </row>
    <row r="12" spans="1:8" s="52" customFormat="1" ht="22.9" customHeight="1">
      <c r="A12" s="661"/>
      <c r="B12" s="661" t="s">
        <v>164</v>
      </c>
      <c r="C12" s="661"/>
      <c r="D12" s="360">
        <f>'3.구성현황표(건축)'!D64</f>
        <v>6756169</v>
      </c>
      <c r="E12" s="110">
        <f t="shared" ca="1" si="0"/>
        <v>3.9669619055295764E-2</v>
      </c>
      <c r="F12" s="56">
        <f>'3.구성현황표(건축)'!E64</f>
        <v>5690891</v>
      </c>
      <c r="G12" s="56">
        <f>'3.구성현황표(건축)'!F64</f>
        <v>0</v>
      </c>
      <c r="H12" s="56">
        <f>'3.구성현황표(건축)'!G64</f>
        <v>1065278</v>
      </c>
    </row>
    <row r="13" spans="1:8" s="52" customFormat="1" ht="22.9" customHeight="1">
      <c r="A13" s="661"/>
      <c r="B13" s="661" t="s">
        <v>165</v>
      </c>
      <c r="C13" s="661"/>
      <c r="D13" s="360">
        <f>'3.구성현황표(건축)'!D65</f>
        <v>1280239</v>
      </c>
      <c r="E13" s="110">
        <f t="shared" ca="1" si="0"/>
        <v>7.5170697224614712E-3</v>
      </c>
      <c r="F13" s="56">
        <f>'3.구성현황표(건축)'!E65</f>
        <v>1078377</v>
      </c>
      <c r="G13" s="56">
        <f>'3.구성현황표(건축)'!F65</f>
        <v>0</v>
      </c>
      <c r="H13" s="56">
        <f>'3.구성현황표(건축)'!G65</f>
        <v>201862</v>
      </c>
    </row>
    <row r="14" spans="1:8" s="52" customFormat="1" ht="22.9" customHeight="1">
      <c r="A14" s="662"/>
      <c r="B14" s="667" t="s">
        <v>166</v>
      </c>
      <c r="C14" s="668"/>
      <c r="D14" s="611">
        <f>D11+D12+D13</f>
        <v>58192668</v>
      </c>
      <c r="E14" s="110">
        <f ca="1">D14/D24</f>
        <v>0.34168490624957726</v>
      </c>
      <c r="F14" s="56">
        <f>F11+F12+F13</f>
        <v>49017144</v>
      </c>
      <c r="G14" s="56">
        <f>G11+G12+G13</f>
        <v>0</v>
      </c>
      <c r="H14" s="56">
        <f>H11+H12+H13</f>
        <v>9175524</v>
      </c>
    </row>
    <row r="15" spans="1:8" s="417" customFormat="1" ht="22.9" customHeight="1">
      <c r="A15" s="661" t="s">
        <v>167</v>
      </c>
      <c r="B15" s="663" t="s">
        <v>168</v>
      </c>
      <c r="C15" s="663"/>
      <c r="D15" s="611">
        <v>689075</v>
      </c>
      <c r="E15" s="419">
        <f t="shared" ref="E15:E20" ca="1" si="1">D15/$D$24</f>
        <v>4.0459826790194163E-3</v>
      </c>
      <c r="F15" s="420"/>
      <c r="G15" s="420">
        <f>D15</f>
        <v>689075</v>
      </c>
      <c r="H15" s="420"/>
    </row>
    <row r="16" spans="1:8" s="417" customFormat="1" ht="22.9" customHeight="1">
      <c r="A16" s="661"/>
      <c r="B16" s="663" t="s">
        <v>169</v>
      </c>
      <c r="C16" s="663"/>
      <c r="D16" s="611">
        <f ca="1">F16+G16+H16</f>
        <v>1729573</v>
      </c>
      <c r="E16" s="419">
        <f t="shared" ca="1" si="1"/>
        <v>1.0155385698363238E-2</v>
      </c>
      <c r="F16" s="420"/>
      <c r="G16" s="420">
        <f ca="1">ROUNDDOWN(F14*'1.건축감리비산출금액'!F30,0)</f>
        <v>1178715</v>
      </c>
      <c r="H16" s="418">
        <f>400858+150000</f>
        <v>550858</v>
      </c>
    </row>
    <row r="17" spans="1:12" s="417" customFormat="1" ht="22.9" customHeight="1">
      <c r="A17" s="661"/>
      <c r="B17" s="663" t="s">
        <v>170</v>
      </c>
      <c r="C17" s="663"/>
      <c r="D17" s="611">
        <v>35423099</v>
      </c>
      <c r="E17" s="419">
        <f t="shared" ca="1" si="1"/>
        <v>0.2079907774787795</v>
      </c>
      <c r="F17" s="420"/>
      <c r="G17" s="420">
        <f>D17</f>
        <v>35423099</v>
      </c>
      <c r="H17" s="420"/>
    </row>
    <row r="18" spans="1:12" s="52" customFormat="1" ht="22.9" customHeight="1">
      <c r="A18" s="661"/>
      <c r="B18" s="663" t="s">
        <v>171</v>
      </c>
      <c r="C18" s="663"/>
      <c r="D18" s="611">
        <v>22323472</v>
      </c>
      <c r="E18" s="419">
        <f t="shared" ca="1" si="1"/>
        <v>0.13107481921064459</v>
      </c>
      <c r="F18" s="420"/>
      <c r="G18" s="420">
        <f>D18</f>
        <v>22323472</v>
      </c>
      <c r="H18" s="420"/>
    </row>
    <row r="19" spans="1:12" s="52" customFormat="1" ht="22.9" customHeight="1">
      <c r="A19" s="661"/>
      <c r="B19" s="663" t="s">
        <v>172</v>
      </c>
      <c r="C19" s="663"/>
      <c r="D19" s="611">
        <v>0</v>
      </c>
      <c r="E19" s="419">
        <f t="shared" ca="1" si="1"/>
        <v>0</v>
      </c>
      <c r="F19" s="420"/>
      <c r="G19" s="420">
        <f>D19</f>
        <v>0</v>
      </c>
      <c r="H19" s="420"/>
    </row>
    <row r="20" spans="1:12" s="417" customFormat="1" ht="22.9" customHeight="1">
      <c r="A20" s="661"/>
      <c r="B20" s="663" t="s">
        <v>173</v>
      </c>
      <c r="C20" s="663"/>
      <c r="D20" s="611">
        <v>2935158</v>
      </c>
      <c r="E20" s="419">
        <f t="shared" ca="1" si="1"/>
        <v>1.723411592088709E-2</v>
      </c>
      <c r="F20" s="420"/>
      <c r="G20" s="420">
        <f>D20</f>
        <v>2935158</v>
      </c>
      <c r="H20" s="420"/>
    </row>
    <row r="21" spans="1:12" s="52" customFormat="1" ht="22.9" customHeight="1">
      <c r="A21" s="662"/>
      <c r="B21" s="664" t="s">
        <v>73</v>
      </c>
      <c r="C21" s="661"/>
      <c r="D21" s="611">
        <f ca="1">SUM(D15:D20)</f>
        <v>63100377</v>
      </c>
      <c r="E21" s="110">
        <f ca="1">D21/D24</f>
        <v>0.37050108098769385</v>
      </c>
      <c r="F21" s="56">
        <f>SUM(F15:F20)-F16</f>
        <v>0</v>
      </c>
      <c r="G21" s="56">
        <f ca="1">SUM(G15:G20)</f>
        <v>62549519</v>
      </c>
      <c r="H21" s="56">
        <f>SUM(H15:H20)</f>
        <v>550858</v>
      </c>
    </row>
    <row r="22" spans="1:12" s="52" customFormat="1" ht="22.9" customHeight="1">
      <c r="A22" s="661" t="s">
        <v>174</v>
      </c>
      <c r="B22" s="661"/>
      <c r="C22" s="661"/>
      <c r="D22" s="611">
        <v>44912968</v>
      </c>
      <c r="E22" s="110">
        <f ca="1">D22/D24</f>
        <v>0.26371162876516097</v>
      </c>
      <c r="F22" s="56">
        <f>D22-G22-H22</f>
        <v>0</v>
      </c>
      <c r="G22" s="56">
        <f>D22</f>
        <v>44912968</v>
      </c>
      <c r="H22" s="56"/>
    </row>
    <row r="23" spans="1:12" s="52" customFormat="1" ht="22.9" customHeight="1">
      <c r="A23" s="661" t="s">
        <v>444</v>
      </c>
      <c r="B23" s="661"/>
      <c r="C23" s="661"/>
      <c r="D23" s="611">
        <v>4104899</v>
      </c>
      <c r="E23" s="110">
        <f ca="1">D23/D24</f>
        <v>2.4102383997567929E-2</v>
      </c>
      <c r="F23" s="56">
        <f>D23-G23-H23</f>
        <v>0</v>
      </c>
      <c r="G23" s="56">
        <f>D23</f>
        <v>4104899</v>
      </c>
      <c r="H23" s="56"/>
    </row>
    <row r="24" spans="1:12" s="52" customFormat="1" ht="22.9" customHeight="1">
      <c r="A24" s="661" t="s">
        <v>175</v>
      </c>
      <c r="B24" s="661"/>
      <c r="C24" s="661"/>
      <c r="D24" s="611">
        <f ca="1">D14+D21+D22+D23</f>
        <v>170310912</v>
      </c>
      <c r="E24" s="381">
        <f ca="1">D24/D24</f>
        <v>1</v>
      </c>
      <c r="F24" s="56">
        <f>F14+F21+F22+F23</f>
        <v>49017144</v>
      </c>
      <c r="G24" s="56">
        <f ca="1">G14+G21+G22+G23</f>
        <v>111567386</v>
      </c>
      <c r="H24" s="56">
        <f>H14+H21+H22+H23</f>
        <v>9726382</v>
      </c>
      <c r="J24" s="659"/>
      <c r="K24" s="660"/>
      <c r="L24" s="660"/>
    </row>
    <row r="25" spans="1:12" s="527" customFormat="1" ht="22.9" customHeight="1">
      <c r="A25" s="526" t="s">
        <v>118</v>
      </c>
      <c r="D25" s="528"/>
      <c r="E25" s="529"/>
    </row>
    <row r="26" spans="1:12" s="527" customFormat="1" ht="22.9" customHeight="1">
      <c r="A26" s="526" t="s">
        <v>119</v>
      </c>
      <c r="D26" s="528"/>
      <c r="E26" s="529"/>
    </row>
    <row r="27" spans="1:12" s="527" customFormat="1" ht="22.9" customHeight="1">
      <c r="A27" s="526" t="s">
        <v>120</v>
      </c>
      <c r="D27" s="528"/>
      <c r="E27" s="529"/>
    </row>
    <row r="28" spans="1:12" s="527" customFormat="1" ht="22.9" customHeight="1">
      <c r="A28" s="526" t="s">
        <v>121</v>
      </c>
      <c r="D28" s="528"/>
      <c r="E28" s="529"/>
    </row>
    <row r="29" spans="1:12" s="527" customFormat="1" ht="22.9" customHeight="1">
      <c r="A29" s="526" t="s">
        <v>122</v>
      </c>
      <c r="D29" s="528"/>
      <c r="E29" s="529"/>
    </row>
    <row r="30" spans="1:12" s="527" customFormat="1" ht="22.9" customHeight="1">
      <c r="A30" s="526" t="s">
        <v>123</v>
      </c>
      <c r="D30" s="528"/>
      <c r="E30" s="529"/>
    </row>
    <row r="31" spans="1:12" s="527" customFormat="1" ht="22.9" customHeight="1">
      <c r="A31" s="526" t="s">
        <v>124</v>
      </c>
      <c r="D31" s="528"/>
      <c r="E31" s="529"/>
    </row>
    <row r="32" spans="1:12" s="527" customFormat="1" ht="22.9" customHeight="1">
      <c r="A32" s="526" t="s">
        <v>125</v>
      </c>
      <c r="D32" s="528"/>
      <c r="E32" s="529"/>
    </row>
    <row r="33" spans="1:6" s="527" customFormat="1" ht="22.9" customHeight="1">
      <c r="A33" s="526" t="s">
        <v>126</v>
      </c>
      <c r="D33" s="528"/>
      <c r="E33" s="529"/>
    </row>
    <row r="34" spans="1:6" s="527" customFormat="1" ht="22.9" customHeight="1">
      <c r="A34" s="526" t="s">
        <v>127</v>
      </c>
      <c r="D34" s="528"/>
      <c r="E34" s="529"/>
    </row>
    <row r="35" spans="1:6" s="527" customFormat="1" ht="22.9" customHeight="1">
      <c r="A35" s="526" t="s">
        <v>128</v>
      </c>
      <c r="D35" s="528"/>
      <c r="E35" s="529"/>
    </row>
    <row r="36" spans="1:6" s="52" customFormat="1" ht="21" customHeight="1">
      <c r="A36" s="57"/>
      <c r="D36" s="58"/>
      <c r="E36" s="78"/>
    </row>
    <row r="37" spans="1:6" s="52" customFormat="1" ht="21" customHeight="1">
      <c r="A37" s="57"/>
      <c r="D37" s="58"/>
      <c r="E37" s="78"/>
    </row>
    <row r="38" spans="1:6" s="52" customFormat="1" ht="20.100000000000001" hidden="1" customHeight="1">
      <c r="D38" s="58">
        <f>D14/18120</f>
        <v>3211.515894039735</v>
      </c>
      <c r="E38" s="78"/>
      <c r="F38" s="412">
        <f>F24/14659</f>
        <v>3343.8259089978851</v>
      </c>
    </row>
    <row r="39" spans="1:6" s="52" customFormat="1" ht="20.100000000000001" customHeight="1">
      <c r="D39" s="58"/>
      <c r="E39" s="78"/>
    </row>
    <row r="40" spans="1:6" s="52" customFormat="1" ht="20.100000000000001" customHeight="1">
      <c r="D40" s="58"/>
      <c r="E40" s="78"/>
    </row>
    <row r="41" spans="1:6" s="52" customFormat="1" ht="20.100000000000001" customHeight="1">
      <c r="D41" s="58"/>
      <c r="E41" s="78"/>
    </row>
    <row r="42" spans="1:6" s="52" customFormat="1" ht="20.100000000000001" customHeight="1">
      <c r="D42" s="58"/>
      <c r="E42" s="78"/>
    </row>
    <row r="43" spans="1:6" s="52" customFormat="1" ht="20.100000000000001" customHeight="1">
      <c r="D43" s="58"/>
      <c r="E43" s="78"/>
    </row>
    <row r="44" spans="1:6" s="52" customFormat="1" ht="20.100000000000001" customHeight="1">
      <c r="D44" s="58"/>
      <c r="E44" s="78"/>
    </row>
    <row r="45" spans="1:6" s="52" customFormat="1" ht="20.100000000000001" customHeight="1">
      <c r="D45" s="58"/>
      <c r="E45" s="78"/>
    </row>
    <row r="46" spans="1:6" s="52" customFormat="1" ht="20.100000000000001" customHeight="1">
      <c r="D46" s="58"/>
      <c r="E46" s="78"/>
    </row>
    <row r="47" spans="1:6" s="52" customFormat="1" ht="20.100000000000001" customHeight="1">
      <c r="D47" s="58"/>
      <c r="E47" s="78"/>
    </row>
    <row r="48" spans="1:6" s="52" customFormat="1" ht="20.100000000000001" customHeight="1">
      <c r="D48" s="58"/>
      <c r="E48" s="78"/>
    </row>
    <row r="49" spans="4:5" s="52" customFormat="1" ht="20.100000000000001" customHeight="1">
      <c r="D49" s="58"/>
      <c r="E49" s="78"/>
    </row>
    <row r="50" spans="4:5" s="52" customFormat="1" ht="20.100000000000001" customHeight="1">
      <c r="D50" s="58"/>
      <c r="E50" s="78"/>
    </row>
    <row r="51" spans="4:5" s="52" customFormat="1" ht="20.100000000000001" customHeight="1">
      <c r="D51" s="58"/>
      <c r="E51" s="78"/>
    </row>
  </sheetData>
  <mergeCells count="19">
    <mergeCell ref="A2:H2"/>
    <mergeCell ref="A4:C4"/>
    <mergeCell ref="A5:A14"/>
    <mergeCell ref="B5:B11"/>
    <mergeCell ref="B12:C12"/>
    <mergeCell ref="B13:C13"/>
    <mergeCell ref="B14:C14"/>
    <mergeCell ref="J24:L24"/>
    <mergeCell ref="A22:C22"/>
    <mergeCell ref="A23:C23"/>
    <mergeCell ref="A24:C24"/>
    <mergeCell ref="A15:A21"/>
    <mergeCell ref="B15:C15"/>
    <mergeCell ref="B16:C16"/>
    <mergeCell ref="B17:C17"/>
    <mergeCell ref="B18:C18"/>
    <mergeCell ref="B19:C19"/>
    <mergeCell ref="B20:C20"/>
    <mergeCell ref="B21:C21"/>
  </mergeCells>
  <phoneticPr fontId="3" type="noConversion"/>
  <pageMargins left="0.21" right="0.24" top="0.67" bottom="0.47" header="0.5" footer="0.38"/>
  <pageSetup paperSize="9" scale="94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>
    <tabColor rgb="FFFF0000"/>
  </sheetPr>
  <dimension ref="A1:G73"/>
  <sheetViews>
    <sheetView view="pageBreakPreview" workbookViewId="0">
      <selection activeCell="J17" sqref="J17"/>
    </sheetView>
  </sheetViews>
  <sheetFormatPr defaultRowHeight="20.100000000000001" customHeight="1"/>
  <cols>
    <col min="1" max="1" width="8.33203125" style="48" customWidth="1"/>
    <col min="2" max="2" width="7.88671875" style="48" customWidth="1"/>
    <col min="3" max="3" width="16.5546875" style="48" bestFit="1" customWidth="1"/>
    <col min="4" max="5" width="13.33203125" style="362" customWidth="1"/>
    <col min="6" max="6" width="12.88671875" style="362" customWidth="1"/>
    <col min="7" max="7" width="13.21875" style="362" customWidth="1"/>
    <col min="8" max="16384" width="8.88671875" style="48"/>
  </cols>
  <sheetData>
    <row r="1" spans="1:7" ht="20.100000000000001" customHeight="1">
      <c r="A1" s="47" t="s">
        <v>23</v>
      </c>
    </row>
    <row r="2" spans="1:7" ht="30" customHeight="1">
      <c r="A2" s="665" t="s">
        <v>24</v>
      </c>
      <c r="B2" s="665"/>
      <c r="C2" s="665"/>
      <c r="D2" s="665"/>
      <c r="E2" s="665"/>
      <c r="F2" s="665"/>
      <c r="G2" s="665"/>
    </row>
    <row r="3" spans="1:7" ht="21" customHeight="1">
      <c r="A3" s="49"/>
      <c r="B3" s="49"/>
      <c r="C3" s="49"/>
      <c r="D3" s="363"/>
      <c r="E3" s="363"/>
      <c r="F3" s="363"/>
      <c r="G3" s="377" t="s">
        <v>21</v>
      </c>
    </row>
    <row r="4" spans="1:7" s="52" customFormat="1" ht="21" customHeight="1">
      <c r="A4" s="51" t="s">
        <v>26</v>
      </c>
      <c r="B4" s="51" t="s">
        <v>27</v>
      </c>
      <c r="C4" s="51" t="s">
        <v>28</v>
      </c>
      <c r="D4" s="364" t="s">
        <v>112</v>
      </c>
      <c r="E4" s="364" t="s">
        <v>114</v>
      </c>
      <c r="F4" s="364" t="s">
        <v>115</v>
      </c>
      <c r="G4" s="364" t="s">
        <v>116</v>
      </c>
    </row>
    <row r="5" spans="1:7" s="52" customFormat="1" ht="21" customHeight="1">
      <c r="A5" s="677" t="s">
        <v>25</v>
      </c>
      <c r="B5" s="53" t="s">
        <v>29</v>
      </c>
      <c r="C5" s="59" t="s">
        <v>31</v>
      </c>
      <c r="D5" s="370">
        <v>2444092</v>
      </c>
      <c r="E5" s="367">
        <v>2444092</v>
      </c>
      <c r="F5" s="365">
        <v>0</v>
      </c>
      <c r="G5" s="370">
        <v>0</v>
      </c>
    </row>
    <row r="6" spans="1:7" s="52" customFormat="1" ht="21" customHeight="1">
      <c r="A6" s="678"/>
      <c r="B6" s="60" t="s">
        <v>30</v>
      </c>
      <c r="C6" s="61" t="s">
        <v>32</v>
      </c>
      <c r="D6" s="367">
        <v>814697</v>
      </c>
      <c r="E6" s="367">
        <v>814697</v>
      </c>
      <c r="F6" s="366">
        <v>0</v>
      </c>
      <c r="G6" s="367">
        <v>0</v>
      </c>
    </row>
    <row r="7" spans="1:7" s="52" customFormat="1" ht="21" customHeight="1">
      <c r="A7" s="678"/>
      <c r="B7" s="54"/>
      <c r="C7" s="62" t="s">
        <v>129</v>
      </c>
      <c r="D7" s="367">
        <v>0</v>
      </c>
      <c r="E7" s="367">
        <v>0</v>
      </c>
      <c r="F7" s="367">
        <v>0</v>
      </c>
      <c r="G7" s="367">
        <v>0</v>
      </c>
    </row>
    <row r="8" spans="1:7" s="52" customFormat="1" ht="21" customHeight="1">
      <c r="A8" s="678"/>
      <c r="B8" s="54"/>
      <c r="C8" s="61" t="s">
        <v>33</v>
      </c>
      <c r="D8" s="367">
        <v>0</v>
      </c>
      <c r="E8" s="367">
        <v>0</v>
      </c>
      <c r="F8" s="367">
        <v>0</v>
      </c>
      <c r="G8" s="367">
        <v>0</v>
      </c>
    </row>
    <row r="9" spans="1:7" s="52" customFormat="1" ht="21" customHeight="1">
      <c r="A9" s="678"/>
      <c r="B9" s="54"/>
      <c r="C9" s="61" t="s">
        <v>130</v>
      </c>
      <c r="D9" s="367">
        <v>0</v>
      </c>
      <c r="E9" s="367">
        <v>0</v>
      </c>
      <c r="F9" s="367">
        <v>0</v>
      </c>
      <c r="G9" s="367">
        <v>0</v>
      </c>
    </row>
    <row r="10" spans="1:7" s="52" customFormat="1" ht="21" customHeight="1">
      <c r="A10" s="678"/>
      <c r="B10" s="54"/>
      <c r="C10" s="61" t="s">
        <v>34</v>
      </c>
      <c r="D10" s="367">
        <v>58193</v>
      </c>
      <c r="E10" s="367">
        <v>58193</v>
      </c>
      <c r="F10" s="367">
        <v>0</v>
      </c>
      <c r="G10" s="367">
        <v>0</v>
      </c>
    </row>
    <row r="11" spans="1:7" s="52" customFormat="1" ht="21" customHeight="1">
      <c r="A11" s="678"/>
      <c r="B11" s="54"/>
      <c r="C11" s="61" t="s">
        <v>35</v>
      </c>
      <c r="D11" s="367">
        <v>0</v>
      </c>
      <c r="E11" s="367">
        <v>0</v>
      </c>
      <c r="F11" s="367">
        <v>0</v>
      </c>
      <c r="G11" s="367">
        <v>0</v>
      </c>
    </row>
    <row r="12" spans="1:7" s="52" customFormat="1" ht="21" customHeight="1">
      <c r="A12" s="678"/>
      <c r="B12" s="54"/>
      <c r="C12" s="62" t="s">
        <v>36</v>
      </c>
      <c r="D12" s="367">
        <v>0</v>
      </c>
      <c r="E12" s="367">
        <v>0</v>
      </c>
      <c r="F12" s="367">
        <v>0</v>
      </c>
      <c r="G12" s="367">
        <v>0</v>
      </c>
    </row>
    <row r="13" spans="1:7" s="52" customFormat="1" ht="21" customHeight="1">
      <c r="A13" s="678"/>
      <c r="B13" s="54"/>
      <c r="C13" s="61" t="s">
        <v>37</v>
      </c>
      <c r="D13" s="367">
        <v>0</v>
      </c>
      <c r="E13" s="367">
        <v>0</v>
      </c>
      <c r="F13" s="367">
        <v>0</v>
      </c>
      <c r="G13" s="367">
        <v>0</v>
      </c>
    </row>
    <row r="14" spans="1:7" s="52" customFormat="1" ht="21" customHeight="1">
      <c r="A14" s="678"/>
      <c r="B14" s="54"/>
      <c r="C14" s="62" t="s">
        <v>131</v>
      </c>
      <c r="D14" s="367">
        <v>0</v>
      </c>
      <c r="E14" s="367">
        <v>0</v>
      </c>
      <c r="F14" s="367">
        <v>0</v>
      </c>
      <c r="G14" s="367">
        <v>0</v>
      </c>
    </row>
    <row r="15" spans="1:7" s="52" customFormat="1" ht="21" customHeight="1">
      <c r="A15" s="678"/>
      <c r="B15" s="54"/>
      <c r="C15" s="62" t="s">
        <v>38</v>
      </c>
      <c r="D15" s="367">
        <v>0</v>
      </c>
      <c r="E15" s="367">
        <v>0</v>
      </c>
      <c r="F15" s="367">
        <v>0</v>
      </c>
      <c r="G15" s="367">
        <v>0</v>
      </c>
    </row>
    <row r="16" spans="1:7" s="52" customFormat="1" ht="21" customHeight="1">
      <c r="A16" s="678"/>
      <c r="B16" s="54"/>
      <c r="C16" s="61" t="s">
        <v>39</v>
      </c>
      <c r="D16" s="367">
        <v>232771</v>
      </c>
      <c r="E16" s="367">
        <v>232771</v>
      </c>
      <c r="F16" s="367">
        <v>0</v>
      </c>
      <c r="G16" s="367">
        <v>0</v>
      </c>
    </row>
    <row r="17" spans="1:7" s="52" customFormat="1" ht="21" customHeight="1">
      <c r="A17" s="678"/>
      <c r="B17" s="54"/>
      <c r="C17" s="61" t="s">
        <v>132</v>
      </c>
      <c r="D17" s="367">
        <v>465541</v>
      </c>
      <c r="E17" s="367">
        <v>465541</v>
      </c>
      <c r="F17" s="367">
        <v>0</v>
      </c>
      <c r="G17" s="367">
        <v>0</v>
      </c>
    </row>
    <row r="18" spans="1:7" s="52" customFormat="1" ht="21" customHeight="1">
      <c r="A18" s="678"/>
      <c r="B18" s="54"/>
      <c r="C18" s="61"/>
      <c r="D18" s="367"/>
      <c r="E18" s="367"/>
      <c r="F18" s="367"/>
      <c r="G18" s="367"/>
    </row>
    <row r="19" spans="1:7" s="52" customFormat="1" ht="21" customHeight="1">
      <c r="A19" s="678"/>
      <c r="B19" s="63"/>
      <c r="C19" s="64" t="s">
        <v>72</v>
      </c>
      <c r="D19" s="368">
        <f>SUM(D5:D18)</f>
        <v>4015294</v>
      </c>
      <c r="E19" s="368">
        <f>SUM(E5:E18)</f>
        <v>4015294</v>
      </c>
      <c r="F19" s="368">
        <v>0</v>
      </c>
      <c r="G19" s="368">
        <v>0</v>
      </c>
    </row>
    <row r="20" spans="1:7" s="52" customFormat="1" ht="21" customHeight="1">
      <c r="A20" s="678"/>
      <c r="B20" s="53" t="s">
        <v>40</v>
      </c>
      <c r="C20" s="59" t="s">
        <v>133</v>
      </c>
      <c r="D20" s="370">
        <v>1745780</v>
      </c>
      <c r="E20" s="370">
        <v>1745780</v>
      </c>
      <c r="F20" s="365">
        <v>0</v>
      </c>
      <c r="G20" s="370">
        <v>0</v>
      </c>
    </row>
    <row r="21" spans="1:7" s="52" customFormat="1" ht="21" customHeight="1">
      <c r="A21" s="678"/>
      <c r="B21" s="60" t="s">
        <v>41</v>
      </c>
      <c r="C21" s="61" t="s">
        <v>42</v>
      </c>
      <c r="D21" s="367">
        <v>465541</v>
      </c>
      <c r="E21" s="367">
        <v>465541</v>
      </c>
      <c r="F21" s="367">
        <v>0</v>
      </c>
      <c r="G21" s="367">
        <v>0</v>
      </c>
    </row>
    <row r="22" spans="1:7" s="52" customFormat="1" ht="21" customHeight="1">
      <c r="A22" s="678"/>
      <c r="B22" s="60"/>
      <c r="C22" s="61" t="s">
        <v>43</v>
      </c>
      <c r="D22" s="367">
        <v>5470111</v>
      </c>
      <c r="E22" s="367">
        <v>5470111</v>
      </c>
      <c r="F22" s="367">
        <v>0</v>
      </c>
      <c r="G22" s="367">
        <v>0</v>
      </c>
    </row>
    <row r="23" spans="1:7" s="52" customFormat="1" ht="21" customHeight="1">
      <c r="A23" s="678"/>
      <c r="B23" s="60"/>
      <c r="C23" s="61" t="s">
        <v>44</v>
      </c>
      <c r="D23" s="367">
        <v>1862166</v>
      </c>
      <c r="E23" s="367">
        <v>1862166</v>
      </c>
      <c r="F23" s="367">
        <v>0</v>
      </c>
      <c r="G23" s="367">
        <v>0</v>
      </c>
    </row>
    <row r="24" spans="1:7" s="52" customFormat="1" ht="21" customHeight="1">
      <c r="A24" s="678"/>
      <c r="B24" s="60"/>
      <c r="C24" s="61" t="s">
        <v>45</v>
      </c>
      <c r="D24" s="367">
        <v>12627810</v>
      </c>
      <c r="E24" s="367">
        <v>12627810</v>
      </c>
      <c r="F24" s="367">
        <v>0</v>
      </c>
      <c r="G24" s="367">
        <v>0</v>
      </c>
    </row>
    <row r="25" spans="1:7" s="52" customFormat="1" ht="21" customHeight="1">
      <c r="A25" s="678"/>
      <c r="B25" s="60"/>
      <c r="C25" s="61" t="s">
        <v>46</v>
      </c>
      <c r="D25" s="367">
        <v>0</v>
      </c>
      <c r="E25" s="367">
        <v>0</v>
      </c>
      <c r="F25" s="367">
        <v>0</v>
      </c>
      <c r="G25" s="367">
        <v>0</v>
      </c>
    </row>
    <row r="26" spans="1:7" s="52" customFormat="1" ht="21" customHeight="1">
      <c r="A26" s="678"/>
      <c r="B26" s="60"/>
      <c r="C26" s="61" t="s">
        <v>47</v>
      </c>
      <c r="D26" s="367">
        <v>465541</v>
      </c>
      <c r="E26" s="367">
        <v>465541</v>
      </c>
      <c r="F26" s="367">
        <v>0</v>
      </c>
      <c r="G26" s="367">
        <v>0</v>
      </c>
    </row>
    <row r="27" spans="1:7" s="52" customFormat="1" ht="21" customHeight="1">
      <c r="A27" s="678"/>
      <c r="B27" s="60"/>
      <c r="C27" s="61" t="s">
        <v>48</v>
      </c>
      <c r="D27" s="367">
        <v>1163853</v>
      </c>
      <c r="E27" s="367">
        <v>1163853</v>
      </c>
      <c r="F27" s="367">
        <v>0</v>
      </c>
      <c r="G27" s="367">
        <v>0</v>
      </c>
    </row>
    <row r="28" spans="1:7" s="52" customFormat="1" ht="21" customHeight="1">
      <c r="A28" s="678"/>
      <c r="B28" s="60"/>
      <c r="C28" s="61" t="s">
        <v>49</v>
      </c>
      <c r="D28" s="367">
        <v>116385</v>
      </c>
      <c r="E28" s="367">
        <v>116385</v>
      </c>
      <c r="F28" s="367">
        <v>0</v>
      </c>
      <c r="G28" s="367">
        <v>0</v>
      </c>
    </row>
    <row r="29" spans="1:7" s="52" customFormat="1" ht="21" customHeight="1">
      <c r="A29" s="678"/>
      <c r="B29" s="60"/>
      <c r="C29" s="61" t="s">
        <v>50</v>
      </c>
      <c r="D29" s="367">
        <v>465541</v>
      </c>
      <c r="E29" s="367">
        <v>465541</v>
      </c>
      <c r="F29" s="367">
        <v>0</v>
      </c>
      <c r="G29" s="367">
        <v>0</v>
      </c>
    </row>
    <row r="30" spans="1:7" s="52" customFormat="1" ht="21" customHeight="1">
      <c r="A30" s="678"/>
      <c r="B30" s="60"/>
      <c r="C30" s="61" t="s">
        <v>51</v>
      </c>
      <c r="D30" s="367">
        <v>290963</v>
      </c>
      <c r="E30" s="367">
        <v>290963</v>
      </c>
      <c r="F30" s="367">
        <v>0</v>
      </c>
      <c r="G30" s="367">
        <v>0</v>
      </c>
    </row>
    <row r="31" spans="1:7" s="52" customFormat="1" ht="21" customHeight="1">
      <c r="A31" s="678"/>
      <c r="B31" s="60"/>
      <c r="C31" s="61" t="s">
        <v>52</v>
      </c>
      <c r="D31" s="367">
        <v>931083</v>
      </c>
      <c r="E31" s="367">
        <v>931083</v>
      </c>
      <c r="F31" s="367">
        <v>0</v>
      </c>
      <c r="G31" s="367">
        <v>0</v>
      </c>
    </row>
    <row r="32" spans="1:7" s="52" customFormat="1" ht="21" customHeight="1">
      <c r="A32" s="678"/>
      <c r="B32" s="60"/>
      <c r="C32" s="61" t="s">
        <v>53</v>
      </c>
      <c r="D32" s="367">
        <v>931083</v>
      </c>
      <c r="E32" s="367">
        <v>931083</v>
      </c>
      <c r="F32" s="367">
        <v>0</v>
      </c>
      <c r="G32" s="367">
        <v>0</v>
      </c>
    </row>
    <row r="33" spans="1:7" s="52" customFormat="1" ht="21" customHeight="1">
      <c r="A33" s="678"/>
      <c r="B33" s="60"/>
      <c r="C33" s="61" t="s">
        <v>54</v>
      </c>
      <c r="D33" s="367">
        <v>349156</v>
      </c>
      <c r="E33" s="367">
        <v>349156</v>
      </c>
      <c r="F33" s="367">
        <v>0</v>
      </c>
      <c r="G33" s="367">
        <v>0</v>
      </c>
    </row>
    <row r="34" spans="1:7" s="52" customFormat="1" ht="21" customHeight="1">
      <c r="A34" s="679"/>
      <c r="B34" s="65"/>
      <c r="C34" s="66" t="s">
        <v>55</v>
      </c>
      <c r="D34" s="369">
        <v>1163853</v>
      </c>
      <c r="E34" s="369">
        <v>1163853</v>
      </c>
      <c r="F34" s="369">
        <v>0</v>
      </c>
      <c r="G34" s="369">
        <v>0</v>
      </c>
    </row>
    <row r="35" spans="1:7" s="52" customFormat="1" ht="21" customHeight="1">
      <c r="A35" s="677" t="s">
        <v>25</v>
      </c>
      <c r="B35" s="53" t="s">
        <v>40</v>
      </c>
      <c r="C35" s="59" t="s">
        <v>134</v>
      </c>
      <c r="D35" s="370">
        <v>349156</v>
      </c>
      <c r="E35" s="370">
        <v>349156</v>
      </c>
      <c r="F35" s="370">
        <v>0</v>
      </c>
      <c r="G35" s="370">
        <v>0</v>
      </c>
    </row>
    <row r="36" spans="1:7" s="52" customFormat="1" ht="21" customHeight="1">
      <c r="A36" s="678"/>
      <c r="B36" s="60" t="s">
        <v>41</v>
      </c>
      <c r="C36" s="61" t="s">
        <v>56</v>
      </c>
      <c r="D36" s="367">
        <v>698312</v>
      </c>
      <c r="E36" s="367">
        <v>698312</v>
      </c>
      <c r="F36" s="367">
        <v>0</v>
      </c>
      <c r="G36" s="367">
        <v>0</v>
      </c>
    </row>
    <row r="37" spans="1:7" s="52" customFormat="1" ht="21" customHeight="1">
      <c r="A37" s="678"/>
      <c r="B37" s="54"/>
      <c r="C37" s="67" t="s">
        <v>135</v>
      </c>
      <c r="D37" s="367">
        <v>581927</v>
      </c>
      <c r="E37" s="367">
        <v>581927</v>
      </c>
      <c r="F37" s="367">
        <v>0</v>
      </c>
      <c r="G37" s="367">
        <v>0</v>
      </c>
    </row>
    <row r="38" spans="1:7" s="52" customFormat="1" ht="21" customHeight="1">
      <c r="A38" s="678"/>
      <c r="B38" s="54"/>
      <c r="C38" s="61" t="s">
        <v>57</v>
      </c>
      <c r="D38" s="367">
        <v>640119</v>
      </c>
      <c r="E38" s="367">
        <v>640119</v>
      </c>
      <c r="F38" s="367">
        <v>0</v>
      </c>
      <c r="G38" s="367">
        <v>0</v>
      </c>
    </row>
    <row r="39" spans="1:7" s="52" customFormat="1" ht="21" customHeight="1">
      <c r="A39" s="678"/>
      <c r="B39" s="54"/>
      <c r="C39" s="61" t="s">
        <v>58</v>
      </c>
      <c r="D39" s="367">
        <v>174578</v>
      </c>
      <c r="E39" s="367">
        <v>174578</v>
      </c>
      <c r="F39" s="367">
        <v>0</v>
      </c>
      <c r="G39" s="367">
        <v>0</v>
      </c>
    </row>
    <row r="40" spans="1:7" s="52" customFormat="1" ht="21" customHeight="1">
      <c r="A40" s="678"/>
      <c r="B40" s="54"/>
      <c r="C40" s="61" t="s">
        <v>59</v>
      </c>
      <c r="D40" s="367">
        <v>407349</v>
      </c>
      <c r="E40" s="367">
        <v>407349</v>
      </c>
      <c r="F40" s="367">
        <v>0</v>
      </c>
      <c r="G40" s="367">
        <v>0</v>
      </c>
    </row>
    <row r="41" spans="1:7" s="52" customFormat="1" ht="21" customHeight="1">
      <c r="A41" s="678"/>
      <c r="B41" s="54"/>
      <c r="C41" s="61" t="s">
        <v>60</v>
      </c>
      <c r="D41" s="367">
        <v>1047468</v>
      </c>
      <c r="E41" s="367">
        <v>1047468</v>
      </c>
      <c r="F41" s="367">
        <v>0</v>
      </c>
      <c r="G41" s="367">
        <v>0</v>
      </c>
    </row>
    <row r="42" spans="1:7" s="52" customFormat="1" ht="21" customHeight="1">
      <c r="A42" s="678"/>
      <c r="B42" s="54"/>
      <c r="C42" s="67" t="s">
        <v>136</v>
      </c>
      <c r="D42" s="367">
        <v>349156</v>
      </c>
      <c r="E42" s="367">
        <v>349156</v>
      </c>
      <c r="F42" s="366">
        <v>0</v>
      </c>
      <c r="G42" s="367">
        <v>0</v>
      </c>
    </row>
    <row r="43" spans="1:7" s="52" customFormat="1" ht="21" customHeight="1">
      <c r="A43" s="678"/>
      <c r="B43" s="54"/>
      <c r="C43" s="61"/>
      <c r="D43" s="367"/>
      <c r="E43" s="367"/>
      <c r="F43" s="367"/>
      <c r="G43" s="367"/>
    </row>
    <row r="44" spans="1:7" s="52" customFormat="1" ht="21" customHeight="1">
      <c r="A44" s="678"/>
      <c r="B44" s="54"/>
      <c r="C44" s="68"/>
      <c r="D44" s="367"/>
      <c r="E44" s="367"/>
      <c r="F44" s="367"/>
      <c r="G44" s="367"/>
    </row>
    <row r="45" spans="1:7" s="52" customFormat="1" ht="21" customHeight="1">
      <c r="A45" s="678"/>
      <c r="B45" s="54"/>
      <c r="C45" s="62"/>
      <c r="D45" s="367"/>
      <c r="E45" s="367"/>
      <c r="F45" s="367"/>
      <c r="G45" s="367"/>
    </row>
    <row r="46" spans="1:7" s="52" customFormat="1" ht="21" customHeight="1">
      <c r="A46" s="678"/>
      <c r="B46" s="54"/>
      <c r="C46" s="61"/>
      <c r="D46" s="367"/>
      <c r="E46" s="367"/>
      <c r="F46" s="367"/>
      <c r="G46" s="367"/>
    </row>
    <row r="47" spans="1:7" s="52" customFormat="1" ht="21" customHeight="1">
      <c r="A47" s="678"/>
      <c r="B47" s="54"/>
      <c r="C47" s="61"/>
      <c r="D47" s="367"/>
      <c r="E47" s="367"/>
      <c r="F47" s="367"/>
      <c r="G47" s="367"/>
    </row>
    <row r="48" spans="1:7" s="52" customFormat="1" ht="21" customHeight="1">
      <c r="A48" s="678"/>
      <c r="B48" s="63"/>
      <c r="C48" s="64" t="s">
        <v>72</v>
      </c>
      <c r="D48" s="368">
        <f>SUM(D20:D47)</f>
        <v>32296931</v>
      </c>
      <c r="E48" s="368">
        <f>SUM(E20:E47)</f>
        <v>32296931</v>
      </c>
      <c r="F48" s="368">
        <v>0</v>
      </c>
      <c r="G48" s="368">
        <v>0</v>
      </c>
    </row>
    <row r="49" spans="1:7" s="52" customFormat="1" ht="21" customHeight="1">
      <c r="A49" s="678"/>
      <c r="B49" s="53" t="s">
        <v>61</v>
      </c>
      <c r="C49" s="59" t="s">
        <v>63</v>
      </c>
      <c r="D49" s="370">
        <v>836927</v>
      </c>
      <c r="E49" s="370">
        <v>836927</v>
      </c>
      <c r="F49" s="365">
        <v>0</v>
      </c>
      <c r="G49" s="370">
        <v>0</v>
      </c>
    </row>
    <row r="50" spans="1:7" s="52" customFormat="1" ht="21" customHeight="1">
      <c r="A50" s="678"/>
      <c r="B50" s="60" t="s">
        <v>62</v>
      </c>
      <c r="C50" s="61" t="s">
        <v>64</v>
      </c>
      <c r="D50" s="367">
        <v>94970</v>
      </c>
      <c r="E50" s="367">
        <v>94970</v>
      </c>
      <c r="F50" s="367">
        <v>0</v>
      </c>
      <c r="G50" s="367">
        <v>0</v>
      </c>
    </row>
    <row r="51" spans="1:7" s="52" customFormat="1" ht="21" customHeight="1">
      <c r="A51" s="678"/>
      <c r="B51" s="60"/>
      <c r="C51" s="69" t="s">
        <v>66</v>
      </c>
      <c r="D51" s="367">
        <v>1288037</v>
      </c>
      <c r="E51" s="367">
        <v>1288037</v>
      </c>
      <c r="F51" s="367">
        <v>0</v>
      </c>
      <c r="G51" s="367">
        <v>0</v>
      </c>
    </row>
    <row r="52" spans="1:7" s="52" customFormat="1" ht="21" customHeight="1">
      <c r="A52" s="678"/>
      <c r="B52" s="60"/>
      <c r="C52" s="61" t="s">
        <v>65</v>
      </c>
      <c r="D52" s="367">
        <v>789442</v>
      </c>
      <c r="E52" s="367">
        <v>789442</v>
      </c>
      <c r="F52" s="367">
        <v>0</v>
      </c>
      <c r="G52" s="367">
        <v>0</v>
      </c>
    </row>
    <row r="53" spans="1:7" s="52" customFormat="1" ht="21" customHeight="1">
      <c r="A53" s="678"/>
      <c r="B53" s="60"/>
      <c r="C53" s="61" t="s">
        <v>141</v>
      </c>
      <c r="D53" s="367">
        <v>985318</v>
      </c>
      <c r="E53" s="367">
        <v>985318</v>
      </c>
      <c r="F53" s="367">
        <v>0</v>
      </c>
      <c r="G53" s="367">
        <v>0</v>
      </c>
    </row>
    <row r="54" spans="1:7" s="52" customFormat="1" ht="21" customHeight="1">
      <c r="A54" s="678"/>
      <c r="B54" s="60"/>
      <c r="C54" s="61" t="s">
        <v>67</v>
      </c>
      <c r="D54" s="367">
        <v>676664</v>
      </c>
      <c r="E54" s="367">
        <v>676664</v>
      </c>
      <c r="F54" s="367">
        <v>0</v>
      </c>
      <c r="G54" s="367">
        <v>0</v>
      </c>
    </row>
    <row r="55" spans="1:7" s="52" customFormat="1" ht="21" customHeight="1">
      <c r="A55" s="678"/>
      <c r="B55" s="60"/>
      <c r="C55" s="61" t="s">
        <v>68</v>
      </c>
      <c r="D55" s="367">
        <v>213683</v>
      </c>
      <c r="E55" s="367">
        <v>213683</v>
      </c>
      <c r="F55" s="367">
        <v>0</v>
      </c>
      <c r="G55" s="367">
        <v>0</v>
      </c>
    </row>
    <row r="56" spans="1:7" s="52" customFormat="1" ht="21" customHeight="1">
      <c r="A56" s="678"/>
      <c r="B56" s="60"/>
      <c r="C56" s="61" t="s">
        <v>137</v>
      </c>
      <c r="D56" s="367">
        <v>166198</v>
      </c>
      <c r="E56" s="367">
        <v>166198</v>
      </c>
      <c r="F56" s="367">
        <v>0</v>
      </c>
      <c r="G56" s="367">
        <v>0</v>
      </c>
    </row>
    <row r="57" spans="1:7" s="52" customFormat="1" ht="21" customHeight="1">
      <c r="A57" s="678"/>
      <c r="B57" s="60"/>
      <c r="C57" s="61" t="s">
        <v>69</v>
      </c>
      <c r="D57" s="367">
        <v>884412</v>
      </c>
      <c r="E57" s="367">
        <v>884412</v>
      </c>
      <c r="F57" s="367">
        <v>0</v>
      </c>
      <c r="G57" s="367">
        <v>0</v>
      </c>
    </row>
    <row r="58" spans="1:7" s="52" customFormat="1" ht="21" customHeight="1">
      <c r="A58" s="678"/>
      <c r="B58" s="60"/>
      <c r="C58" s="61"/>
      <c r="D58" s="367"/>
      <c r="E58" s="367"/>
      <c r="F58" s="367"/>
      <c r="G58" s="367"/>
    </row>
    <row r="59" spans="1:7" s="52" customFormat="1" ht="21" customHeight="1">
      <c r="A59" s="678"/>
      <c r="B59" s="60"/>
      <c r="C59" s="61"/>
      <c r="D59" s="367"/>
      <c r="E59" s="367"/>
      <c r="F59" s="367"/>
      <c r="G59" s="367"/>
    </row>
    <row r="60" spans="1:7" s="52" customFormat="1" ht="21" customHeight="1">
      <c r="A60" s="678"/>
      <c r="B60" s="70"/>
      <c r="C60" s="71" t="s">
        <v>138</v>
      </c>
      <c r="D60" s="371">
        <f>SUM(D49:D59)</f>
        <v>5935651</v>
      </c>
      <c r="E60" s="371">
        <f>SUM(E49:E59)</f>
        <v>5935651</v>
      </c>
      <c r="F60" s="371">
        <f>SUM(F49:F59)</f>
        <v>0</v>
      </c>
      <c r="G60" s="371">
        <f>SUM(G49:G59)</f>
        <v>0</v>
      </c>
    </row>
    <row r="61" spans="1:7" s="52" customFormat="1" ht="21" customHeight="1">
      <c r="A61" s="678"/>
      <c r="B61" s="680" t="s">
        <v>673</v>
      </c>
      <c r="C61" s="681"/>
      <c r="D61" s="378">
        <v>3491560</v>
      </c>
      <c r="E61" s="379">
        <v>0</v>
      </c>
      <c r="F61" s="372">
        <v>0</v>
      </c>
      <c r="G61" s="373">
        <v>3491560</v>
      </c>
    </row>
    <row r="62" spans="1:7" s="52" customFormat="1" ht="21" customHeight="1">
      <c r="A62" s="678"/>
      <c r="B62" s="682" t="s">
        <v>644</v>
      </c>
      <c r="C62" s="683"/>
      <c r="D62" s="376">
        <v>1920358</v>
      </c>
      <c r="E62" s="373">
        <v>0</v>
      </c>
      <c r="F62" s="373">
        <v>0</v>
      </c>
      <c r="G62" s="373">
        <v>1920358</v>
      </c>
    </row>
    <row r="63" spans="1:7" s="52" customFormat="1" ht="21" customHeight="1">
      <c r="A63" s="679"/>
      <c r="B63" s="684" t="s">
        <v>70</v>
      </c>
      <c r="C63" s="685"/>
      <c r="D63" s="376">
        <v>2496466</v>
      </c>
      <c r="E63" s="373">
        <v>0</v>
      </c>
      <c r="F63" s="373">
        <v>0</v>
      </c>
      <c r="G63" s="373">
        <v>2496466</v>
      </c>
    </row>
    <row r="64" spans="1:7" s="52" customFormat="1" ht="21" customHeight="1">
      <c r="A64" s="670" t="s">
        <v>71</v>
      </c>
      <c r="B64" s="671"/>
      <c r="C64" s="672"/>
      <c r="D64" s="376">
        <v>6756169</v>
      </c>
      <c r="E64" s="380">
        <v>5690891</v>
      </c>
      <c r="F64" s="373">
        <v>0</v>
      </c>
      <c r="G64" s="373">
        <v>1065278</v>
      </c>
    </row>
    <row r="65" spans="1:7" s="52" customFormat="1" ht="21" customHeight="1">
      <c r="A65" s="662" t="s">
        <v>139</v>
      </c>
      <c r="B65" s="673"/>
      <c r="C65" s="664"/>
      <c r="D65" s="376">
        <v>1280239</v>
      </c>
      <c r="E65" s="373">
        <v>1078377</v>
      </c>
      <c r="F65" s="373">
        <v>0</v>
      </c>
      <c r="G65" s="373">
        <v>201862</v>
      </c>
    </row>
    <row r="66" spans="1:7" s="52" customFormat="1" ht="21" customHeight="1">
      <c r="A66" s="674" t="s">
        <v>140</v>
      </c>
      <c r="B66" s="675"/>
      <c r="C66" s="676"/>
      <c r="D66" s="374">
        <f>SUM(D61:D65,D60,D48,D19)</f>
        <v>58192668</v>
      </c>
      <c r="E66" s="374">
        <v>49017144</v>
      </c>
      <c r="F66" s="374"/>
      <c r="G66" s="374">
        <v>9175524</v>
      </c>
    </row>
    <row r="67" spans="1:7" s="52" customFormat="1" ht="21" customHeight="1">
      <c r="A67" s="669" t="s">
        <v>491</v>
      </c>
      <c r="B67" s="669"/>
      <c r="C67" s="669"/>
      <c r="D67" s="669"/>
      <c r="E67" s="669"/>
      <c r="F67" s="669"/>
      <c r="G67" s="669"/>
    </row>
    <row r="68" spans="1:7" s="52" customFormat="1" ht="20.100000000000001" customHeight="1">
      <c r="D68" s="375"/>
      <c r="E68" s="375"/>
      <c r="F68" s="375"/>
      <c r="G68" s="375"/>
    </row>
    <row r="69" spans="1:7" s="52" customFormat="1" ht="20.100000000000001" customHeight="1">
      <c r="D69" s="382"/>
      <c r="E69" s="382"/>
      <c r="F69" s="382"/>
      <c r="G69" s="382"/>
    </row>
    <row r="70" spans="1:7" s="52" customFormat="1" ht="20.100000000000001" customHeight="1">
      <c r="D70" s="382"/>
      <c r="E70" s="382"/>
      <c r="F70" s="382"/>
      <c r="G70" s="382"/>
    </row>
    <row r="71" spans="1:7" s="52" customFormat="1" ht="20.100000000000001" customHeight="1">
      <c r="D71" s="375"/>
      <c r="E71" s="416"/>
      <c r="F71" s="375"/>
      <c r="G71" s="375"/>
    </row>
    <row r="72" spans="1:7" s="52" customFormat="1" ht="20.100000000000001" customHeight="1">
      <c r="D72" s="375"/>
      <c r="E72" s="375"/>
      <c r="F72" s="375"/>
      <c r="G72" s="375"/>
    </row>
    <row r="73" spans="1:7" s="52" customFormat="1" ht="20.100000000000001" customHeight="1">
      <c r="D73" s="375"/>
      <c r="E73" s="375"/>
      <c r="F73" s="375"/>
      <c r="G73" s="375"/>
    </row>
  </sheetData>
  <mergeCells count="10">
    <mergeCell ref="A67:G67"/>
    <mergeCell ref="A64:C64"/>
    <mergeCell ref="A65:C65"/>
    <mergeCell ref="A66:C66"/>
    <mergeCell ref="A2:G2"/>
    <mergeCell ref="A5:A34"/>
    <mergeCell ref="A35:A63"/>
    <mergeCell ref="B61:C61"/>
    <mergeCell ref="B62:C62"/>
    <mergeCell ref="B63:C63"/>
  </mergeCells>
  <phoneticPr fontId="3" type="noConversion"/>
  <pageMargins left="0.24" right="0.24" top="0.62" bottom="0.63" header="0.5" footer="0.5"/>
  <pageSetup paperSize="9" orientation="portrait" r:id="rId1"/>
  <headerFooter alignWithMargins="0"/>
  <rowBreaks count="1" manualBreakCount="1">
    <brk id="3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AL33"/>
  <sheetViews>
    <sheetView showGridLines="0" view="pageBreakPreview" topLeftCell="A4" zoomScale="85" zoomScaleNormal="120" zoomScaleSheetLayoutView="120" workbookViewId="0">
      <selection activeCell="I28" sqref="I28:N28"/>
    </sheetView>
  </sheetViews>
  <sheetFormatPr defaultRowHeight="16.5"/>
  <cols>
    <col min="1" max="1" width="3.21875" style="137" customWidth="1"/>
    <col min="2" max="7" width="2.77734375" style="137" customWidth="1"/>
    <col min="8" max="8" width="3.21875" style="137" customWidth="1"/>
    <col min="9" max="9" width="2.88671875" style="137" customWidth="1"/>
    <col min="10" max="11" width="2.77734375" style="137" customWidth="1"/>
    <col min="12" max="12" width="3.33203125" style="137" customWidth="1"/>
    <col min="13" max="29" width="2.77734375" style="137" customWidth="1"/>
    <col min="30" max="30" width="4.6640625" style="137" customWidth="1"/>
    <col min="31" max="33" width="2.77734375" style="137" customWidth="1"/>
    <col min="34" max="34" width="16.5546875" style="137" bestFit="1" customWidth="1"/>
    <col min="35" max="37" width="10.44140625" style="137" bestFit="1" customWidth="1"/>
    <col min="38" max="38" width="7.109375" style="137" bestFit="1" customWidth="1"/>
    <col min="39" max="47" width="2.77734375" style="137" customWidth="1"/>
    <col min="48" max="16384" width="8.88671875" style="137"/>
  </cols>
  <sheetData>
    <row r="1" spans="1:38" ht="65.099999999999994" customHeight="1">
      <c r="A1" s="703" t="s">
        <v>426</v>
      </c>
      <c r="B1" s="703"/>
      <c r="C1" s="703"/>
      <c r="D1" s="703"/>
      <c r="E1" s="703"/>
      <c r="F1" s="703"/>
      <c r="G1" s="703"/>
      <c r="H1" s="703"/>
      <c r="I1" s="703"/>
      <c r="J1" s="703"/>
      <c r="K1" s="703"/>
      <c r="L1" s="703"/>
      <c r="M1" s="703"/>
      <c r="N1" s="703"/>
      <c r="O1" s="703"/>
      <c r="P1" s="703"/>
      <c r="Q1" s="703"/>
      <c r="R1" s="703"/>
      <c r="S1" s="703"/>
      <c r="T1" s="703"/>
      <c r="U1" s="703"/>
      <c r="V1" s="703"/>
      <c r="W1" s="703"/>
      <c r="X1" s="703"/>
      <c r="Y1" s="703"/>
      <c r="Z1" s="703"/>
      <c r="AA1" s="703"/>
      <c r="AB1" s="703"/>
      <c r="AC1" s="703"/>
      <c r="AD1" s="703"/>
      <c r="AE1" s="703"/>
      <c r="AL1" s="137" t="s">
        <v>423</v>
      </c>
    </row>
    <row r="2" spans="1:38" ht="69.95" customHeight="1">
      <c r="A2" s="136"/>
      <c r="B2" s="136"/>
      <c r="C2" s="136"/>
      <c r="D2" s="704" t="s">
        <v>253</v>
      </c>
      <c r="E2" s="704"/>
      <c r="F2" s="704"/>
      <c r="G2" s="704"/>
      <c r="H2" s="704"/>
      <c r="I2" s="704"/>
      <c r="J2" s="704"/>
      <c r="K2" s="704"/>
      <c r="L2" s="704"/>
      <c r="M2" s="704"/>
      <c r="N2" s="704"/>
      <c r="O2" s="704"/>
      <c r="P2" s="704"/>
      <c r="Q2" s="704"/>
      <c r="R2" s="704"/>
      <c r="S2" s="704"/>
      <c r="T2" s="704"/>
      <c r="U2" s="704"/>
      <c r="V2" s="704"/>
      <c r="W2" s="704"/>
      <c r="X2" s="704"/>
      <c r="Y2" s="704"/>
      <c r="Z2" s="704"/>
      <c r="AA2" s="704"/>
      <c r="AH2" s="299" t="s">
        <v>345</v>
      </c>
      <c r="AI2" s="694" t="s">
        <v>347</v>
      </c>
      <c r="AJ2" s="695"/>
      <c r="AK2" s="695"/>
      <c r="AL2" s="696"/>
    </row>
    <row r="3" spans="1:38" ht="24" customHeight="1">
      <c r="A3" s="138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AH3" s="299" t="s">
        <v>346</v>
      </c>
      <c r="AI3" s="300" t="s">
        <v>348</v>
      </c>
      <c r="AJ3" s="300" t="s">
        <v>349</v>
      </c>
      <c r="AK3" s="300" t="s">
        <v>350</v>
      </c>
      <c r="AL3" s="300" t="s">
        <v>351</v>
      </c>
    </row>
    <row r="4" spans="1:38" ht="24" customHeight="1">
      <c r="C4" s="137" t="s">
        <v>254</v>
      </c>
      <c r="I4" s="139" t="e">
        <f>#REF!&amp;" 신축공사 정보통신 감리용역"</f>
        <v>#REF!</v>
      </c>
      <c r="AH4" s="301" t="s">
        <v>352</v>
      </c>
      <c r="AI4" s="301"/>
      <c r="AJ4" s="301"/>
      <c r="AK4" s="301"/>
      <c r="AL4" s="301">
        <v>26.62</v>
      </c>
    </row>
    <row r="5" spans="1:38" ht="24" customHeight="1">
      <c r="C5" s="137" t="s">
        <v>255</v>
      </c>
      <c r="I5" s="298" t="e">
        <f>#REF!</f>
        <v>#REF!</v>
      </c>
      <c r="AH5" s="301" t="s">
        <v>353</v>
      </c>
      <c r="AI5" s="301"/>
      <c r="AJ5" s="301"/>
      <c r="AK5" s="301"/>
      <c r="AL5" s="301">
        <v>19.97</v>
      </c>
    </row>
    <row r="6" spans="1:38" ht="24" customHeight="1">
      <c r="C6" s="137" t="s">
        <v>256</v>
      </c>
      <c r="H6" s="140"/>
      <c r="I6" s="141" t="s">
        <v>257</v>
      </c>
      <c r="J6" s="140"/>
      <c r="K6" s="140"/>
      <c r="L6" s="142"/>
      <c r="M6" s="142"/>
      <c r="N6" s="709">
        <f>'3.구성현황표(건축)'!G62*1000</f>
        <v>1920358000</v>
      </c>
      <c r="O6" s="709"/>
      <c r="P6" s="709"/>
      <c r="Q6" s="709"/>
      <c r="R6" s="709"/>
      <c r="S6" s="709"/>
      <c r="T6" s="143" t="s">
        <v>100</v>
      </c>
      <c r="U6" s="144"/>
      <c r="AH6" s="301" t="s">
        <v>354</v>
      </c>
      <c r="AI6" s="301"/>
      <c r="AJ6" s="301"/>
      <c r="AK6" s="301"/>
      <c r="AL6" s="301">
        <v>16.13</v>
      </c>
    </row>
    <row r="7" spans="1:38" ht="24" customHeight="1">
      <c r="D7" s="145" t="s">
        <v>258</v>
      </c>
      <c r="AH7" s="301" t="s">
        <v>355</v>
      </c>
      <c r="AI7" s="301"/>
      <c r="AJ7" s="301"/>
      <c r="AK7" s="301">
        <v>2.7</v>
      </c>
      <c r="AL7" s="301">
        <v>11.26</v>
      </c>
    </row>
    <row r="8" spans="1:38" ht="24" customHeight="1">
      <c r="N8" s="145" t="s">
        <v>259</v>
      </c>
      <c r="AH8" s="301" t="s">
        <v>356</v>
      </c>
      <c r="AI8" s="301"/>
      <c r="AJ8" s="301"/>
      <c r="AK8" s="301">
        <v>2.5299999999999998</v>
      </c>
      <c r="AL8" s="301">
        <v>10.55</v>
      </c>
    </row>
    <row r="9" spans="1:38" ht="18.75">
      <c r="C9" s="137" t="s">
        <v>260</v>
      </c>
      <c r="AH9" s="301" t="s">
        <v>357</v>
      </c>
      <c r="AI9" s="301"/>
      <c r="AJ9" s="301"/>
      <c r="AK9" s="301">
        <v>2.02</v>
      </c>
      <c r="AL9" s="301">
        <v>8.42</v>
      </c>
    </row>
    <row r="10" spans="1:38" ht="24" customHeight="1">
      <c r="D10" s="137" t="s">
        <v>261</v>
      </c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AH10" s="301" t="s">
        <v>358</v>
      </c>
      <c r="AI10" s="301"/>
      <c r="AJ10" s="301"/>
      <c r="AK10" s="301">
        <v>1.84</v>
      </c>
      <c r="AL10" s="301">
        <v>7.68</v>
      </c>
    </row>
    <row r="11" spans="1:38" ht="24" customHeight="1">
      <c r="B11" s="145"/>
      <c r="C11" s="146"/>
      <c r="D11" s="146"/>
      <c r="E11" s="145" t="s">
        <v>262</v>
      </c>
      <c r="F11" s="147"/>
      <c r="G11" s="147"/>
      <c r="H11" s="147"/>
      <c r="I11" s="145"/>
      <c r="J11" s="148"/>
      <c r="K11" s="148"/>
      <c r="L11" s="148"/>
      <c r="M11" s="149"/>
      <c r="N11" s="149"/>
      <c r="O11" s="145"/>
      <c r="P11" s="145"/>
      <c r="AH11" s="301" t="s">
        <v>359</v>
      </c>
      <c r="AI11" s="301"/>
      <c r="AJ11" s="301"/>
      <c r="AK11" s="301">
        <v>1.68</v>
      </c>
      <c r="AL11" s="301">
        <v>6.98</v>
      </c>
    </row>
    <row r="12" spans="1:38" s="150" customFormat="1" ht="24" customHeight="1">
      <c r="E12" s="150" t="s">
        <v>263</v>
      </c>
      <c r="F12" s="151"/>
      <c r="G12" s="151"/>
      <c r="H12" s="152"/>
      <c r="I12" s="153"/>
      <c r="J12" s="154"/>
      <c r="K12" s="302">
        <v>10</v>
      </c>
      <c r="L12" s="155" t="s">
        <v>264</v>
      </c>
      <c r="M12" s="155"/>
      <c r="N12" s="155"/>
      <c r="O12" s="156" t="s">
        <v>265</v>
      </c>
      <c r="P12" s="710">
        <v>1.4800000000000001E-2</v>
      </c>
      <c r="Q12" s="710"/>
      <c r="R12" s="710"/>
      <c r="S12" s="155"/>
      <c r="T12" s="155"/>
      <c r="U12" s="155"/>
      <c r="V12" s="155"/>
      <c r="W12" s="155"/>
      <c r="X12" s="155"/>
      <c r="Y12" s="155"/>
      <c r="Z12" s="155"/>
      <c r="AA12" s="155"/>
      <c r="AB12" s="155"/>
      <c r="AC12" s="155"/>
      <c r="AH12" s="301" t="s">
        <v>360</v>
      </c>
      <c r="AI12" s="301"/>
      <c r="AJ12" s="301"/>
      <c r="AK12" s="301">
        <v>1.48</v>
      </c>
      <c r="AL12" s="301">
        <v>6.16</v>
      </c>
    </row>
    <row r="13" spans="1:38" s="150" customFormat="1" ht="24" customHeight="1">
      <c r="F13" s="157"/>
      <c r="H13" s="155"/>
      <c r="I13" s="155"/>
      <c r="J13" s="155"/>
      <c r="K13" s="302">
        <v>20</v>
      </c>
      <c r="L13" s="155" t="s">
        <v>264</v>
      </c>
      <c r="M13" s="155"/>
      <c r="N13" s="155"/>
      <c r="O13" s="156" t="s">
        <v>265</v>
      </c>
      <c r="P13" s="710">
        <v>1.3599999999999999E-2</v>
      </c>
      <c r="Q13" s="710"/>
      <c r="R13" s="710"/>
      <c r="S13" s="155"/>
      <c r="T13" s="155"/>
      <c r="U13" s="155"/>
      <c r="V13" s="155"/>
      <c r="W13" s="155"/>
      <c r="X13" s="155"/>
      <c r="Y13" s="155"/>
      <c r="Z13" s="155"/>
      <c r="AA13" s="155"/>
      <c r="AB13" s="155"/>
      <c r="AC13" s="155"/>
      <c r="AH13" s="301" t="s">
        <v>361</v>
      </c>
      <c r="AI13" s="301"/>
      <c r="AJ13" s="301"/>
      <c r="AK13" s="301">
        <v>1.36</v>
      </c>
      <c r="AL13" s="301">
        <v>5.66</v>
      </c>
    </row>
    <row r="14" spans="1:38" s="150" customFormat="1" ht="24" customHeight="1">
      <c r="C14" s="158"/>
      <c r="D14" s="158"/>
      <c r="E14" s="150" t="s">
        <v>266</v>
      </c>
      <c r="F14" s="157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H14" s="301" t="s">
        <v>362</v>
      </c>
      <c r="AI14" s="301"/>
      <c r="AJ14" s="301"/>
      <c r="AK14" s="301">
        <v>1.31</v>
      </c>
      <c r="AL14" s="301">
        <v>5.46</v>
      </c>
    </row>
    <row r="15" spans="1:38" s="150" customFormat="1" ht="24" customHeight="1">
      <c r="D15" s="159"/>
      <c r="E15" s="157"/>
      <c r="F15" s="705" t="s">
        <v>267</v>
      </c>
      <c r="G15" s="706" t="s">
        <v>101</v>
      </c>
      <c r="H15" s="707" t="s">
        <v>268</v>
      </c>
      <c r="I15" s="708" t="s">
        <v>269</v>
      </c>
      <c r="J15" s="162"/>
      <c r="K15" s="711" t="s">
        <v>270</v>
      </c>
      <c r="L15" s="711"/>
      <c r="M15" s="711"/>
      <c r="N15" s="711"/>
      <c r="O15" s="711"/>
      <c r="P15" s="711"/>
      <c r="Q15" s="711"/>
      <c r="R15" s="711"/>
      <c r="S15" s="711"/>
      <c r="T15" s="155"/>
      <c r="U15" s="707" t="s">
        <v>271</v>
      </c>
      <c r="V15" s="155"/>
      <c r="W15" s="155"/>
      <c r="X15" s="155"/>
      <c r="Y15" s="155"/>
      <c r="Z15" s="155"/>
      <c r="AA15" s="155"/>
      <c r="AB15" s="155"/>
      <c r="AC15" s="155"/>
      <c r="AH15" s="301" t="s">
        <v>363</v>
      </c>
      <c r="AI15" s="301"/>
      <c r="AJ15" s="301"/>
      <c r="AK15" s="301">
        <v>1.29</v>
      </c>
      <c r="AL15" s="301">
        <v>5.37</v>
      </c>
    </row>
    <row r="16" spans="1:38" s="150" customFormat="1" ht="24" customHeight="1">
      <c r="F16" s="705"/>
      <c r="G16" s="706"/>
      <c r="H16" s="707"/>
      <c r="I16" s="708"/>
      <c r="J16" s="162"/>
      <c r="K16" s="712" t="s">
        <v>272</v>
      </c>
      <c r="L16" s="712"/>
      <c r="M16" s="712"/>
      <c r="N16" s="712"/>
      <c r="O16" s="712"/>
      <c r="P16" s="712"/>
      <c r="Q16" s="712"/>
      <c r="R16" s="712"/>
      <c r="S16" s="712"/>
      <c r="T16" s="155"/>
      <c r="U16" s="707"/>
      <c r="V16" s="155"/>
      <c r="W16" s="155"/>
      <c r="X16" s="155"/>
      <c r="Y16" s="155"/>
      <c r="Z16" s="155"/>
      <c r="AA16" s="155"/>
      <c r="AB16" s="155"/>
      <c r="AC16" s="155"/>
      <c r="AH16" s="301" t="s">
        <v>364</v>
      </c>
      <c r="AI16" s="301"/>
      <c r="AJ16" s="301"/>
      <c r="AK16" s="301">
        <v>1.25</v>
      </c>
      <c r="AL16" s="301">
        <v>5.22</v>
      </c>
    </row>
    <row r="17" spans="1:38" s="150" customFormat="1" ht="24" customHeight="1">
      <c r="F17" s="150" t="s">
        <v>273</v>
      </c>
      <c r="G17" s="163" t="s">
        <v>274</v>
      </c>
      <c r="H17" s="164"/>
      <c r="I17" s="164"/>
      <c r="J17" s="165"/>
      <c r="K17" s="165"/>
      <c r="L17" s="164"/>
      <c r="M17" s="164"/>
      <c r="N17" s="164" t="s">
        <v>275</v>
      </c>
      <c r="O17" s="155"/>
      <c r="P17" s="164"/>
      <c r="Q17" s="164"/>
      <c r="R17" s="164"/>
      <c r="S17" s="164"/>
      <c r="T17" s="164"/>
      <c r="U17" s="164" t="s">
        <v>276</v>
      </c>
      <c r="V17" s="155"/>
      <c r="W17" s="164"/>
      <c r="X17" s="155"/>
      <c r="Y17" s="155"/>
      <c r="Z17" s="155"/>
      <c r="AA17" s="155"/>
      <c r="AB17" s="155"/>
      <c r="AC17" s="155"/>
      <c r="AH17" s="301" t="s">
        <v>365</v>
      </c>
      <c r="AI17" s="301"/>
      <c r="AJ17" s="301"/>
      <c r="AK17" s="301">
        <v>1.22</v>
      </c>
      <c r="AL17" s="301">
        <v>5.07</v>
      </c>
    </row>
    <row r="18" spans="1:38" s="150" customFormat="1" ht="24" customHeight="1">
      <c r="D18" s="157"/>
      <c r="E18" s="157"/>
      <c r="F18" s="157"/>
      <c r="G18" s="163" t="s">
        <v>277</v>
      </c>
      <c r="H18" s="164"/>
      <c r="I18" s="165"/>
      <c r="J18" s="165"/>
      <c r="K18" s="166"/>
      <c r="L18" s="166"/>
      <c r="M18" s="166"/>
      <c r="N18" s="164" t="s">
        <v>278</v>
      </c>
      <c r="O18" s="155"/>
      <c r="P18" s="164"/>
      <c r="Q18" s="164"/>
      <c r="R18" s="164"/>
      <c r="S18" s="164"/>
      <c r="T18" s="164"/>
      <c r="U18" s="164" t="s">
        <v>279</v>
      </c>
      <c r="V18" s="155"/>
      <c r="W18" s="164"/>
      <c r="X18" s="155"/>
      <c r="Y18" s="155"/>
      <c r="Z18" s="155"/>
      <c r="AA18" s="155"/>
      <c r="AB18" s="155"/>
      <c r="AC18" s="155"/>
      <c r="AH18" s="301" t="s">
        <v>366</v>
      </c>
      <c r="AI18" s="301"/>
      <c r="AJ18" s="301"/>
      <c r="AK18" s="301">
        <v>1.21</v>
      </c>
      <c r="AL18" s="301">
        <v>5.03</v>
      </c>
    </row>
    <row r="19" spans="1:38" s="150" customFormat="1" ht="18.75">
      <c r="D19" s="157"/>
      <c r="E19" s="157"/>
      <c r="F19" s="157"/>
      <c r="H19" s="155"/>
      <c r="I19" s="156"/>
      <c r="J19" s="156"/>
      <c r="K19" s="152"/>
      <c r="L19" s="152"/>
      <c r="M19" s="152"/>
      <c r="N19" s="152"/>
      <c r="O19" s="155"/>
      <c r="P19" s="155"/>
      <c r="Q19" s="155"/>
      <c r="R19" s="155"/>
      <c r="S19" s="155"/>
      <c r="T19" s="155"/>
      <c r="U19" s="155"/>
      <c r="V19" s="155"/>
      <c r="W19" s="155"/>
      <c r="X19" s="155"/>
      <c r="Y19" s="155"/>
      <c r="Z19" s="155"/>
      <c r="AA19" s="155"/>
      <c r="AB19" s="155"/>
      <c r="AC19" s="155"/>
      <c r="AH19" s="301" t="s">
        <v>367</v>
      </c>
      <c r="AI19" s="301"/>
      <c r="AJ19" s="301"/>
      <c r="AK19" s="301">
        <v>1.18</v>
      </c>
      <c r="AL19" s="301">
        <v>4.93</v>
      </c>
    </row>
    <row r="20" spans="1:38" s="150" customFormat="1" ht="24" customHeight="1">
      <c r="F20" s="686" t="s">
        <v>267</v>
      </c>
      <c r="G20" s="686" t="s">
        <v>101</v>
      </c>
      <c r="H20" s="687">
        <f>P12</f>
        <v>1.4800000000000001E-2</v>
      </c>
      <c r="I20" s="687"/>
      <c r="J20" s="688" t="s">
        <v>269</v>
      </c>
      <c r="K20" s="167" t="s">
        <v>280</v>
      </c>
      <c r="L20" s="693">
        <f>N6/100000000</f>
        <v>19.203579999999999</v>
      </c>
      <c r="M20" s="693"/>
      <c r="N20" s="693"/>
      <c r="O20" s="693"/>
      <c r="P20" s="164" t="s">
        <v>281</v>
      </c>
      <c r="Q20" s="165" t="s">
        <v>269</v>
      </c>
      <c r="R20" s="165">
        <f>K12</f>
        <v>10</v>
      </c>
      <c r="S20" s="164" t="s">
        <v>281</v>
      </c>
      <c r="T20" s="164" t="s">
        <v>282</v>
      </c>
      <c r="U20" s="165" t="s">
        <v>283</v>
      </c>
      <c r="V20" s="167" t="s">
        <v>280</v>
      </c>
      <c r="W20" s="687">
        <f>P12</f>
        <v>1.4800000000000001E-2</v>
      </c>
      <c r="X20" s="687"/>
      <c r="Y20" s="168" t="s">
        <v>269</v>
      </c>
      <c r="Z20" s="687">
        <f>P13</f>
        <v>1.3599999999999999E-2</v>
      </c>
      <c r="AA20" s="687"/>
      <c r="AB20" s="164" t="s">
        <v>282</v>
      </c>
      <c r="AC20" s="155"/>
      <c r="AH20" s="301" t="s">
        <v>368</v>
      </c>
      <c r="AI20" s="301"/>
      <c r="AJ20" s="301"/>
      <c r="AK20" s="301">
        <v>1.1599999999999999</v>
      </c>
      <c r="AL20" s="301">
        <v>4.8499999999999996</v>
      </c>
    </row>
    <row r="21" spans="1:38" s="150" customFormat="1" ht="24" customHeight="1">
      <c r="D21" s="157"/>
      <c r="E21" s="157"/>
      <c r="F21" s="686"/>
      <c r="G21" s="686"/>
      <c r="H21" s="687"/>
      <c r="I21" s="687"/>
      <c r="J21" s="688"/>
      <c r="K21" s="169"/>
      <c r="L21" s="169"/>
      <c r="M21" s="169"/>
      <c r="N21" s="169"/>
      <c r="O21" s="169"/>
      <c r="P21" s="698">
        <f>K13</f>
        <v>20</v>
      </c>
      <c r="Q21" s="698"/>
      <c r="R21" s="170" t="s">
        <v>281</v>
      </c>
      <c r="S21" s="171" t="s">
        <v>269</v>
      </c>
      <c r="T21" s="172">
        <f>K12</f>
        <v>10</v>
      </c>
      <c r="U21" s="170" t="s">
        <v>281</v>
      </c>
      <c r="V21" s="170"/>
      <c r="W21" s="170"/>
      <c r="X21" s="170"/>
      <c r="Y21" s="170"/>
      <c r="Z21" s="170"/>
      <c r="AA21" s="170"/>
      <c r="AB21" s="170"/>
      <c r="AC21" s="155"/>
      <c r="AH21" s="301" t="s">
        <v>369</v>
      </c>
      <c r="AI21" s="301"/>
      <c r="AJ21" s="301"/>
      <c r="AK21" s="301">
        <v>1.1399999999999999</v>
      </c>
      <c r="AL21" s="301">
        <v>4.7699999999999996</v>
      </c>
    </row>
    <row r="22" spans="1:38" s="150" customFormat="1" ht="18.75">
      <c r="H22" s="155"/>
      <c r="I22" s="155"/>
      <c r="J22" s="155"/>
      <c r="K22" s="173"/>
      <c r="L22" s="155"/>
      <c r="M22" s="155"/>
      <c r="N22" s="155"/>
      <c r="O22" s="155"/>
      <c r="P22" s="155"/>
      <c r="Q22" s="155"/>
      <c r="R22" s="155"/>
      <c r="S22" s="155"/>
      <c r="T22" s="155"/>
      <c r="U22" s="155"/>
      <c r="V22" s="155"/>
      <c r="W22" s="155"/>
      <c r="X22" s="155"/>
      <c r="Y22" s="155"/>
      <c r="Z22" s="155"/>
      <c r="AA22" s="155"/>
      <c r="AB22" s="155"/>
      <c r="AC22" s="155"/>
      <c r="AH22" s="301" t="s">
        <v>370</v>
      </c>
      <c r="AI22" s="301"/>
      <c r="AJ22" s="301"/>
      <c r="AK22" s="301">
        <v>1.1299999999999999</v>
      </c>
      <c r="AL22" s="301">
        <v>4.7</v>
      </c>
    </row>
    <row r="23" spans="1:38" s="150" customFormat="1" ht="24" customHeight="1">
      <c r="G23" s="174" t="s">
        <v>101</v>
      </c>
      <c r="H23" s="692">
        <f>H20-((L20-R20)*(W20-Z20)/(P21-T21))</f>
        <v>1.3695570399999999E-2</v>
      </c>
      <c r="I23" s="692"/>
      <c r="J23" s="692"/>
      <c r="K23" s="175"/>
      <c r="L23" s="155"/>
      <c r="M23" s="155"/>
      <c r="N23" s="176"/>
      <c r="O23" s="176"/>
      <c r="P23" s="176"/>
      <c r="Q23" s="176"/>
      <c r="R23" s="155"/>
      <c r="S23" s="155"/>
      <c r="T23" s="155"/>
      <c r="U23" s="155"/>
      <c r="V23" s="155"/>
      <c r="W23" s="155"/>
      <c r="X23" s="155"/>
      <c r="Y23" s="155"/>
      <c r="Z23" s="155"/>
      <c r="AA23" s="155"/>
      <c r="AB23" s="155"/>
      <c r="AC23" s="155"/>
      <c r="AH23" s="301" t="s">
        <v>371</v>
      </c>
      <c r="AI23" s="301"/>
      <c r="AJ23" s="301"/>
      <c r="AK23" s="301">
        <v>1.1100000000000001</v>
      </c>
      <c r="AL23" s="301">
        <v>4.6399999999999997</v>
      </c>
    </row>
    <row r="24" spans="1:38" s="150" customFormat="1">
      <c r="G24" s="160"/>
      <c r="H24" s="156"/>
      <c r="I24" s="156"/>
      <c r="J24" s="156"/>
      <c r="K24" s="155"/>
      <c r="L24" s="155"/>
      <c r="M24" s="155"/>
      <c r="N24" s="176"/>
      <c r="O24" s="176"/>
      <c r="P24" s="176"/>
      <c r="Q24" s="176"/>
      <c r="R24" s="155"/>
      <c r="S24" s="155"/>
      <c r="T24" s="155"/>
      <c r="U24" s="155"/>
      <c r="V24" s="155"/>
      <c r="W24" s="155"/>
      <c r="X24" s="155"/>
      <c r="Y24" s="155"/>
      <c r="Z24" s="155"/>
      <c r="AA24" s="155"/>
      <c r="AB24" s="155"/>
      <c r="AC24" s="155"/>
    </row>
    <row r="25" spans="1:38" s="177" customFormat="1" ht="24" customHeight="1">
      <c r="C25" s="150"/>
      <c r="D25" s="150"/>
      <c r="E25" s="177" t="s">
        <v>284</v>
      </c>
      <c r="F25" s="178"/>
      <c r="G25" s="150"/>
      <c r="H25" s="155"/>
      <c r="I25" s="155"/>
      <c r="J25" s="161" t="s">
        <v>101</v>
      </c>
      <c r="K25" s="691">
        <f>N6</f>
        <v>1920358000</v>
      </c>
      <c r="L25" s="691"/>
      <c r="M25" s="691"/>
      <c r="N25" s="691"/>
      <c r="O25" s="691"/>
      <c r="P25" s="156" t="s">
        <v>285</v>
      </c>
      <c r="Q25" s="702">
        <f>H23</f>
        <v>1.3695570399999999E-2</v>
      </c>
      <c r="R25" s="702"/>
      <c r="S25" s="702"/>
      <c r="T25" s="702"/>
      <c r="U25" s="179"/>
      <c r="V25" s="161" t="s">
        <v>101</v>
      </c>
      <c r="W25" s="701">
        <f>K25*Q25</f>
        <v>26300398.1822032</v>
      </c>
      <c r="X25" s="701"/>
      <c r="Y25" s="701"/>
      <c r="Z25" s="701"/>
      <c r="AA25" s="701"/>
      <c r="AB25" s="153" t="s">
        <v>100</v>
      </c>
      <c r="AC25" s="180"/>
    </row>
    <row r="26" spans="1:38" ht="24" customHeight="1">
      <c r="E26" s="181"/>
      <c r="F26" s="181"/>
      <c r="G26" s="181"/>
      <c r="H26" s="182"/>
      <c r="I26" s="183"/>
      <c r="J26" s="690"/>
      <c r="K26" s="690"/>
      <c r="L26" s="690"/>
      <c r="M26" s="690"/>
      <c r="N26" s="690"/>
      <c r="O26" s="184"/>
      <c r="P26" s="699"/>
      <c r="Q26" s="699"/>
      <c r="R26" s="699"/>
      <c r="S26" s="184"/>
      <c r="T26" s="700"/>
      <c r="U26" s="700"/>
      <c r="V26" s="700"/>
      <c r="W26" s="700"/>
      <c r="X26" s="700"/>
      <c r="Y26" s="153"/>
      <c r="Z26" s="185"/>
      <c r="AA26" s="185"/>
      <c r="AB26" s="185"/>
      <c r="AC26" s="185"/>
    </row>
    <row r="27" spans="1:38">
      <c r="C27" s="145"/>
      <c r="D27" s="186"/>
      <c r="E27" s="181"/>
      <c r="F27" s="181"/>
      <c r="G27" s="181"/>
      <c r="H27" s="146"/>
      <c r="I27" s="187"/>
      <c r="J27" s="149"/>
      <c r="K27" s="188"/>
      <c r="L27" s="189"/>
      <c r="M27" s="189"/>
      <c r="N27" s="189"/>
      <c r="O27" s="189"/>
      <c r="P27" s="189"/>
      <c r="Q27" s="189"/>
      <c r="R27" s="189"/>
      <c r="S27" s="189"/>
    </row>
    <row r="28" spans="1:38" ht="24.95" customHeight="1">
      <c r="C28" s="137" t="s">
        <v>286</v>
      </c>
      <c r="I28" s="689">
        <f>ROUNDDOWN(W25,-6)</f>
        <v>26000000</v>
      </c>
      <c r="J28" s="689"/>
      <c r="K28" s="689"/>
      <c r="L28" s="689"/>
      <c r="M28" s="689"/>
      <c r="N28" s="689"/>
      <c r="O28" s="137" t="s">
        <v>287</v>
      </c>
      <c r="V28" s="697"/>
      <c r="W28" s="697"/>
      <c r="X28" s="697"/>
    </row>
    <row r="30" spans="1:38">
      <c r="N30" s="190"/>
    </row>
    <row r="32" spans="1:38">
      <c r="A32" s="303" t="s">
        <v>372</v>
      </c>
      <c r="B32" s="138"/>
    </row>
    <row r="33" spans="1:1">
      <c r="A33" s="304" t="s">
        <v>288</v>
      </c>
    </row>
  </sheetData>
  <dataConsolidate/>
  <mergeCells count="30">
    <mergeCell ref="A1:AE1"/>
    <mergeCell ref="D2:AA2"/>
    <mergeCell ref="F15:F16"/>
    <mergeCell ref="G15:G16"/>
    <mergeCell ref="H15:H16"/>
    <mergeCell ref="I15:I16"/>
    <mergeCell ref="N6:S6"/>
    <mergeCell ref="P12:R12"/>
    <mergeCell ref="P13:R13"/>
    <mergeCell ref="K15:S15"/>
    <mergeCell ref="K16:S16"/>
    <mergeCell ref="U15:U16"/>
    <mergeCell ref="W20:X20"/>
    <mergeCell ref="AI2:AL2"/>
    <mergeCell ref="Z20:AA20"/>
    <mergeCell ref="V28:X28"/>
    <mergeCell ref="P21:Q21"/>
    <mergeCell ref="P26:R26"/>
    <mergeCell ref="T26:X26"/>
    <mergeCell ref="W25:AA25"/>
    <mergeCell ref="Q25:T25"/>
    <mergeCell ref="F20:F21"/>
    <mergeCell ref="G20:G21"/>
    <mergeCell ref="H20:I21"/>
    <mergeCell ref="J20:J21"/>
    <mergeCell ref="I28:N28"/>
    <mergeCell ref="J26:N26"/>
    <mergeCell ref="K25:O25"/>
    <mergeCell ref="H23:J23"/>
    <mergeCell ref="L20:O20"/>
  </mergeCells>
  <phoneticPr fontId="3" type="noConversion"/>
  <pageMargins left="0.53" right="0.49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V40"/>
  <sheetViews>
    <sheetView view="pageBreakPreview" topLeftCell="A7" zoomScaleNormal="110" zoomScaleSheetLayoutView="120" workbookViewId="0">
      <selection activeCell="K26" sqref="K26"/>
    </sheetView>
  </sheetViews>
  <sheetFormatPr defaultRowHeight="13.5"/>
  <cols>
    <col min="1" max="1" width="5.5546875" style="192" customWidth="1"/>
    <col min="2" max="2" width="9.5546875" style="193" customWidth="1"/>
    <col min="3" max="3" width="3.77734375" style="194" customWidth="1"/>
    <col min="4" max="4" width="3.44140625" style="194" customWidth="1"/>
    <col min="5" max="6" width="4.21875" style="194" customWidth="1"/>
    <col min="7" max="7" width="3.6640625" style="194" customWidth="1"/>
    <col min="8" max="8" width="5.44140625" style="194" customWidth="1"/>
    <col min="9" max="9" width="8.21875" style="284" customWidth="1"/>
    <col min="10" max="10" width="5.21875" style="192" customWidth="1"/>
    <col min="11" max="11" width="14.21875" style="192" customWidth="1"/>
    <col min="12" max="12" width="9.77734375" style="192" customWidth="1"/>
    <col min="13" max="13" width="8.88671875" style="192"/>
    <col min="14" max="14" width="8.88671875" style="240"/>
    <col min="15" max="16384" width="8.88671875" style="192"/>
  </cols>
  <sheetData>
    <row r="1" spans="1:16" ht="35.1" customHeight="1">
      <c r="A1" s="732" t="s">
        <v>317</v>
      </c>
      <c r="B1" s="732"/>
      <c r="C1" s="732"/>
      <c r="D1" s="732"/>
      <c r="E1" s="732"/>
      <c r="F1" s="732"/>
      <c r="G1" s="732"/>
      <c r="H1" s="732"/>
      <c r="I1" s="732"/>
      <c r="J1" s="732"/>
      <c r="K1" s="732"/>
      <c r="L1" s="732"/>
    </row>
    <row r="2" spans="1:16" ht="21" customHeight="1" thickBo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6" ht="40.5" customHeight="1" thickBot="1">
      <c r="A3" s="734" t="s">
        <v>289</v>
      </c>
      <c r="B3" s="735"/>
      <c r="C3" s="736" t="e">
        <f>#REF!&amp;" 신축공사 소방 감리용역"</f>
        <v>#REF!</v>
      </c>
      <c r="D3" s="736"/>
      <c r="E3" s="736"/>
      <c r="F3" s="736"/>
      <c r="G3" s="736"/>
      <c r="H3" s="736"/>
      <c r="I3" s="736"/>
      <c r="J3" s="736"/>
      <c r="K3" s="736"/>
      <c r="L3" s="737"/>
    </row>
    <row r="4" spans="1:16" ht="8.25" customHeight="1" thickBot="1">
      <c r="B4" s="195"/>
      <c r="C4" s="195"/>
      <c r="D4" s="195"/>
      <c r="E4" s="195"/>
      <c r="F4" s="195"/>
      <c r="G4" s="195"/>
      <c r="H4" s="195"/>
      <c r="I4" s="241"/>
      <c r="J4" s="195"/>
      <c r="K4" s="195"/>
      <c r="L4" s="195"/>
    </row>
    <row r="5" spans="1:16" ht="30" customHeight="1" thickTop="1">
      <c r="A5" s="739" t="s">
        <v>290</v>
      </c>
      <c r="B5" s="740"/>
      <c r="C5" s="741" t="s">
        <v>374</v>
      </c>
      <c r="D5" s="742"/>
      <c r="E5" s="742"/>
      <c r="F5" s="742"/>
      <c r="G5" s="742"/>
      <c r="H5" s="742"/>
      <c r="I5" s="742"/>
      <c r="J5" s="742"/>
      <c r="K5" s="742"/>
      <c r="L5" s="743"/>
    </row>
    <row r="6" spans="1:16" ht="30" customHeight="1">
      <c r="A6" s="722"/>
      <c r="B6" s="723"/>
      <c r="C6" s="718" t="s">
        <v>373</v>
      </c>
      <c r="D6" s="719"/>
      <c r="E6" s="719"/>
      <c r="F6" s="738" t="e">
        <f>#REF!</f>
        <v>#REF!</v>
      </c>
      <c r="G6" s="738"/>
      <c r="H6" s="738"/>
      <c r="I6" s="738"/>
      <c r="J6" s="242"/>
      <c r="K6" s="242"/>
      <c r="L6" s="305"/>
    </row>
    <row r="7" spans="1:16" ht="21" customHeight="1">
      <c r="A7" s="720" t="s">
        <v>291</v>
      </c>
      <c r="B7" s="721"/>
      <c r="C7" s="198" t="s">
        <v>318</v>
      </c>
      <c r="D7" s="198"/>
      <c r="E7" s="198"/>
      <c r="F7" s="198"/>
      <c r="G7" s="198"/>
      <c r="H7" s="198"/>
      <c r="I7" s="243"/>
      <c r="J7" s="199"/>
      <c r="K7" s="199"/>
      <c r="L7" s="244"/>
      <c r="P7" s="307" t="s">
        <v>376</v>
      </c>
    </row>
    <row r="8" spans="1:16" ht="21" customHeight="1">
      <c r="A8" s="722"/>
      <c r="B8" s="723"/>
      <c r="C8" s="196" t="s">
        <v>319</v>
      </c>
      <c r="D8" s="245" t="s">
        <v>320</v>
      </c>
      <c r="E8" s="245"/>
      <c r="F8" s="245"/>
      <c r="G8" s="196"/>
      <c r="H8" s="196"/>
      <c r="I8" s="246"/>
      <c r="J8" s="197"/>
      <c r="K8" s="197"/>
      <c r="L8" s="247"/>
      <c r="P8" s="308" t="s">
        <v>377</v>
      </c>
    </row>
    <row r="9" spans="1:16" ht="21" customHeight="1">
      <c r="A9" s="724"/>
      <c r="B9" s="725"/>
      <c r="C9" s="196" t="s">
        <v>316</v>
      </c>
      <c r="D9" s="196"/>
      <c r="E9" s="200"/>
      <c r="F9" s="200"/>
      <c r="G9" s="200"/>
      <c r="H9" s="200"/>
      <c r="I9" s="248"/>
      <c r="J9" s="201"/>
      <c r="K9" s="201"/>
      <c r="L9" s="249"/>
      <c r="P9" s="308" t="s">
        <v>378</v>
      </c>
    </row>
    <row r="10" spans="1:16" ht="30" customHeight="1" thickBot="1">
      <c r="A10" s="716" t="s">
        <v>292</v>
      </c>
      <c r="B10" s="717"/>
      <c r="C10" s="714" t="s">
        <v>321</v>
      </c>
      <c r="D10" s="714"/>
      <c r="E10" s="714"/>
      <c r="F10" s="714"/>
      <c r="G10" s="714"/>
      <c r="H10" s="714"/>
      <c r="I10" s="714"/>
      <c r="J10" s="714"/>
      <c r="K10" s="202" t="s">
        <v>216</v>
      </c>
      <c r="L10" s="250" t="s">
        <v>19</v>
      </c>
      <c r="P10" s="308" t="s">
        <v>377</v>
      </c>
    </row>
    <row r="11" spans="1:16" ht="26.1" customHeight="1" thickTop="1">
      <c r="A11" s="251" t="s">
        <v>293</v>
      </c>
      <c r="B11" s="203"/>
      <c r="C11" s="204" t="s">
        <v>294</v>
      </c>
      <c r="D11" s="196"/>
      <c r="E11" s="196"/>
      <c r="F11" s="196"/>
      <c r="G11" s="196"/>
      <c r="H11" s="196"/>
      <c r="I11" s="246"/>
      <c r="J11" s="205"/>
      <c r="K11" s="206">
        <f>SUM(K12:K13)</f>
        <v>36545880</v>
      </c>
      <c r="L11" s="744" t="s">
        <v>322</v>
      </c>
      <c r="P11" s="308" t="s">
        <v>379</v>
      </c>
    </row>
    <row r="12" spans="1:16" ht="21.95" customHeight="1">
      <c r="A12" s="252" t="s">
        <v>323</v>
      </c>
      <c r="B12" s="211"/>
      <c r="C12" s="207"/>
      <c r="D12" s="207" t="s">
        <v>324</v>
      </c>
      <c r="E12" s="253"/>
      <c r="F12" s="253" t="s">
        <v>325</v>
      </c>
      <c r="G12" s="254"/>
      <c r="H12" s="255" t="s">
        <v>326</v>
      </c>
      <c r="I12" s="256"/>
      <c r="J12" s="257" t="s">
        <v>100</v>
      </c>
      <c r="K12" s="210">
        <f>C12*E12*G12*I12</f>
        <v>0</v>
      </c>
      <c r="L12" s="713"/>
      <c r="P12" s="308" t="s">
        <v>380</v>
      </c>
    </row>
    <row r="13" spans="1:16" ht="21.95" customHeight="1">
      <c r="A13" s="259" t="s">
        <v>327</v>
      </c>
      <c r="B13" s="260" t="s">
        <v>328</v>
      </c>
      <c r="C13" s="214">
        <v>1</v>
      </c>
      <c r="D13" s="214" t="s">
        <v>324</v>
      </c>
      <c r="E13" s="310">
        <v>24</v>
      </c>
      <c r="F13" s="261" t="s">
        <v>325</v>
      </c>
      <c r="G13" s="262">
        <v>7</v>
      </c>
      <c r="H13" s="263" t="s">
        <v>326</v>
      </c>
      <c r="I13" s="311">
        <f>V33</f>
        <v>217535</v>
      </c>
      <c r="J13" s="215" t="s">
        <v>100</v>
      </c>
      <c r="K13" s="216">
        <f>C13*E13*G13*I13</f>
        <v>36545880</v>
      </c>
      <c r="L13" s="713"/>
      <c r="P13" s="308" t="s">
        <v>381</v>
      </c>
    </row>
    <row r="14" spans="1:16" ht="26.1" customHeight="1">
      <c r="A14" s="264" t="s">
        <v>296</v>
      </c>
      <c r="B14" s="217"/>
      <c r="C14" s="218" t="s">
        <v>297</v>
      </c>
      <c r="D14" s="218"/>
      <c r="E14" s="218"/>
      <c r="F14" s="218"/>
      <c r="G14" s="218"/>
      <c r="H14" s="218"/>
      <c r="I14" s="265"/>
      <c r="J14" s="219"/>
      <c r="K14" s="220">
        <f>K15</f>
        <v>40200468</v>
      </c>
      <c r="L14" s="730" t="s">
        <v>329</v>
      </c>
      <c r="P14" s="308" t="s">
        <v>382</v>
      </c>
    </row>
    <row r="15" spans="1:16" ht="26.1" customHeight="1">
      <c r="A15" s="266"/>
      <c r="B15" s="221"/>
      <c r="C15" s="733">
        <f>K11</f>
        <v>36545880</v>
      </c>
      <c r="D15" s="733"/>
      <c r="E15" s="733"/>
      <c r="F15" s="222"/>
      <c r="G15" s="223"/>
      <c r="H15" s="223"/>
      <c r="I15" s="267"/>
      <c r="J15" s="224">
        <v>1.1000000000000001</v>
      </c>
      <c r="K15" s="225">
        <f>INT(C15*J15)</f>
        <v>40200468</v>
      </c>
      <c r="L15" s="731"/>
      <c r="P15" s="308" t="s">
        <v>383</v>
      </c>
    </row>
    <row r="16" spans="1:16" ht="26.1" customHeight="1">
      <c r="A16" s="268" t="s">
        <v>299</v>
      </c>
      <c r="B16" s="226"/>
      <c r="C16" s="227" t="s">
        <v>300</v>
      </c>
      <c r="D16" s="227"/>
      <c r="E16" s="227"/>
      <c r="F16" s="227"/>
      <c r="G16" s="227"/>
      <c r="H16" s="227"/>
      <c r="I16" s="269"/>
      <c r="J16" s="228"/>
      <c r="K16" s="206">
        <f>K17</f>
        <v>15349269</v>
      </c>
      <c r="L16" s="713" t="s">
        <v>330</v>
      </c>
      <c r="P16" s="308" t="s">
        <v>384</v>
      </c>
    </row>
    <row r="17" spans="1:22" ht="26.1" customHeight="1">
      <c r="A17" s="270"/>
      <c r="B17" s="226"/>
      <c r="C17" s="715">
        <f>(K11+K14)</f>
        <v>76746348</v>
      </c>
      <c r="D17" s="715"/>
      <c r="E17" s="715"/>
      <c r="F17" s="229"/>
      <c r="G17" s="230"/>
      <c r="H17" s="230"/>
      <c r="I17" s="269"/>
      <c r="J17" s="228">
        <v>0.2</v>
      </c>
      <c r="K17" s="231">
        <f>INT(C17*J17)</f>
        <v>15349269</v>
      </c>
      <c r="L17" s="713"/>
      <c r="P17" s="308" t="s">
        <v>385</v>
      </c>
    </row>
    <row r="18" spans="1:22" ht="26.1" customHeight="1">
      <c r="A18" s="271" t="s">
        <v>302</v>
      </c>
      <c r="B18" s="232"/>
      <c r="C18" s="233" t="s">
        <v>303</v>
      </c>
      <c r="D18" s="234"/>
      <c r="E18" s="234"/>
      <c r="F18" s="234"/>
      <c r="G18" s="234"/>
      <c r="H18" s="234"/>
      <c r="I18" s="272"/>
      <c r="J18" s="235"/>
      <c r="K18" s="220">
        <f>INT(SUM(K19:K24))</f>
        <v>3654588</v>
      </c>
      <c r="L18" s="730" t="s">
        <v>331</v>
      </c>
      <c r="P18" s="308" t="s">
        <v>386</v>
      </c>
    </row>
    <row r="19" spans="1:22" ht="26.1" customHeight="1">
      <c r="A19" s="270" t="s">
        <v>305</v>
      </c>
      <c r="B19" s="226"/>
      <c r="C19" s="227" t="s">
        <v>306</v>
      </c>
      <c r="D19" s="227"/>
      <c r="E19" s="227"/>
      <c r="F19" s="227"/>
      <c r="G19" s="227"/>
      <c r="H19" s="227"/>
      <c r="I19" s="269"/>
      <c r="J19" s="228"/>
      <c r="K19" s="231"/>
      <c r="L19" s="713"/>
      <c r="P19" s="308" t="s">
        <v>387</v>
      </c>
    </row>
    <row r="20" spans="1:22" ht="26.1" customHeight="1">
      <c r="A20" s="270"/>
      <c r="B20" s="226"/>
      <c r="C20" s="715">
        <f>SUM(K12:K12)</f>
        <v>0</v>
      </c>
      <c r="D20" s="715"/>
      <c r="E20" s="715"/>
      <c r="F20" s="229"/>
      <c r="G20" s="228"/>
      <c r="H20" s="228"/>
      <c r="I20" s="273"/>
      <c r="J20" s="228">
        <v>0.3</v>
      </c>
      <c r="K20" s="231">
        <f>INT(C20*J20)</f>
        <v>0</v>
      </c>
      <c r="L20" s="713"/>
      <c r="P20" s="308" t="s">
        <v>388</v>
      </c>
    </row>
    <row r="21" spans="1:22" ht="26.1" customHeight="1">
      <c r="A21" s="270" t="s">
        <v>307</v>
      </c>
      <c r="B21" s="226"/>
      <c r="C21" s="230" t="s">
        <v>308</v>
      </c>
      <c r="D21" s="230"/>
      <c r="E21" s="230"/>
      <c r="F21" s="230"/>
      <c r="G21" s="230"/>
      <c r="H21" s="230"/>
      <c r="I21" s="269"/>
      <c r="J21" s="228"/>
      <c r="K21" s="231"/>
      <c r="L21" s="713"/>
      <c r="P21" s="308" t="s">
        <v>389</v>
      </c>
    </row>
    <row r="22" spans="1:22" ht="26.1" customHeight="1">
      <c r="A22" s="270"/>
      <c r="B22" s="226"/>
      <c r="C22" s="729">
        <f>K13</f>
        <v>36545880</v>
      </c>
      <c r="D22" s="715"/>
      <c r="E22" s="715"/>
      <c r="F22" s="229"/>
      <c r="G22" s="228"/>
      <c r="H22" s="228"/>
      <c r="I22" s="273"/>
      <c r="J22" s="228">
        <v>0.1</v>
      </c>
      <c r="K22" s="231">
        <f>INT(C22*J22)</f>
        <v>3654588</v>
      </c>
      <c r="L22" s="713"/>
      <c r="P22" s="308" t="s">
        <v>390</v>
      </c>
    </row>
    <row r="23" spans="1:22" ht="26.1" customHeight="1">
      <c r="A23" s="270" t="s">
        <v>309</v>
      </c>
      <c r="B23" s="226"/>
      <c r="C23" s="227" t="s">
        <v>310</v>
      </c>
      <c r="D23" s="227"/>
      <c r="E23" s="227"/>
      <c r="F23" s="227"/>
      <c r="G23" s="227"/>
      <c r="H23" s="227"/>
      <c r="I23" s="269"/>
      <c r="J23" s="228"/>
      <c r="K23" s="231">
        <v>0</v>
      </c>
      <c r="L23" s="713"/>
      <c r="P23" s="308" t="s">
        <v>391</v>
      </c>
    </row>
    <row r="24" spans="1:22" ht="26.1" customHeight="1">
      <c r="A24" s="266" t="s">
        <v>311</v>
      </c>
      <c r="B24" s="221"/>
      <c r="C24" s="236" t="s">
        <v>310</v>
      </c>
      <c r="D24" s="236"/>
      <c r="E24" s="236"/>
      <c r="F24" s="236"/>
      <c r="G24" s="236"/>
      <c r="H24" s="236"/>
      <c r="I24" s="267"/>
      <c r="J24" s="224"/>
      <c r="K24" s="225">
        <v>0</v>
      </c>
      <c r="L24" s="731"/>
      <c r="P24" s="308" t="s">
        <v>392</v>
      </c>
    </row>
    <row r="25" spans="1:22" ht="26.1" customHeight="1">
      <c r="A25" s="268" t="s">
        <v>312</v>
      </c>
      <c r="B25" s="274"/>
      <c r="C25" s="275" t="s">
        <v>313</v>
      </c>
      <c r="D25" s="275"/>
      <c r="E25" s="275"/>
      <c r="F25" s="275"/>
      <c r="G25" s="275"/>
      <c r="H25" s="275"/>
      <c r="I25" s="276"/>
      <c r="J25" s="277"/>
      <c r="K25" s="278">
        <f>ROUNDDOWN(K11+K14+K16+K18,-6)</f>
        <v>95000000</v>
      </c>
      <c r="L25" s="258"/>
      <c r="P25" s="308" t="s">
        <v>393</v>
      </c>
    </row>
    <row r="26" spans="1:22" ht="30" customHeight="1" thickBot="1">
      <c r="A26" s="279" t="s">
        <v>314</v>
      </c>
      <c r="B26" s="280"/>
      <c r="C26" s="281"/>
      <c r="D26" s="281"/>
      <c r="E26" s="281"/>
      <c r="F26" s="281"/>
      <c r="G26" s="281"/>
      <c r="H26" s="281"/>
      <c r="I26" s="727"/>
      <c r="J26" s="728"/>
      <c r="K26" s="282">
        <f>K25</f>
        <v>95000000</v>
      </c>
      <c r="L26" s="283" t="s">
        <v>315</v>
      </c>
      <c r="P26" s="308" t="s">
        <v>394</v>
      </c>
    </row>
    <row r="27" spans="1:22" ht="39" customHeight="1" thickTop="1">
      <c r="A27" s="306" t="s">
        <v>375</v>
      </c>
      <c r="P27" s="308" t="s">
        <v>395</v>
      </c>
    </row>
    <row r="28" spans="1:22">
      <c r="P28" s="309"/>
    </row>
    <row r="29" spans="1:22">
      <c r="P29" s="192" t="s">
        <v>425</v>
      </c>
    </row>
    <row r="30" spans="1:22">
      <c r="P30" s="726" t="s">
        <v>396</v>
      </c>
      <c r="Q30" s="726" t="s">
        <v>397</v>
      </c>
      <c r="R30" s="726"/>
      <c r="S30" s="726"/>
      <c r="T30" s="726"/>
      <c r="U30" s="726"/>
    </row>
    <row r="31" spans="1:22">
      <c r="P31" s="726"/>
      <c r="Q31" s="312" t="s">
        <v>398</v>
      </c>
      <c r="R31" s="312" t="s">
        <v>399</v>
      </c>
      <c r="S31" s="312" t="s">
        <v>400</v>
      </c>
      <c r="T31" s="312" t="s">
        <v>401</v>
      </c>
      <c r="U31" s="312" t="s">
        <v>402</v>
      </c>
      <c r="V31" s="312" t="s">
        <v>190</v>
      </c>
    </row>
    <row r="32" spans="1:22">
      <c r="P32" s="313" t="s">
        <v>403</v>
      </c>
      <c r="Q32" s="314">
        <v>197001</v>
      </c>
      <c r="R32" s="314">
        <v>205071</v>
      </c>
      <c r="S32" s="314">
        <v>230020</v>
      </c>
      <c r="T32" s="314">
        <v>252897</v>
      </c>
      <c r="U32" s="314">
        <v>263837</v>
      </c>
      <c r="V32" s="357">
        <v>270525</v>
      </c>
    </row>
    <row r="33" spans="16:22">
      <c r="P33" s="313" t="s">
        <v>404</v>
      </c>
      <c r="Q33" s="314">
        <v>162903</v>
      </c>
      <c r="R33" s="314">
        <v>158335</v>
      </c>
      <c r="S33" s="314">
        <v>177096</v>
      </c>
      <c r="T33" s="314">
        <v>196337</v>
      </c>
      <c r="U33" s="314">
        <v>204020</v>
      </c>
      <c r="V33" s="357">
        <v>217535</v>
      </c>
    </row>
    <row r="34" spans="16:22">
      <c r="P34" s="313" t="s">
        <v>405</v>
      </c>
      <c r="Q34" s="314">
        <v>131950</v>
      </c>
      <c r="R34" s="314">
        <v>132936</v>
      </c>
      <c r="S34" s="314">
        <v>148224</v>
      </c>
      <c r="T34" s="314">
        <v>164387</v>
      </c>
      <c r="U34" s="314">
        <v>173417</v>
      </c>
      <c r="V34" s="357">
        <v>180902</v>
      </c>
    </row>
    <row r="35" spans="16:22">
      <c r="P35" s="313" t="s">
        <v>406</v>
      </c>
      <c r="Q35" s="314">
        <v>108828</v>
      </c>
      <c r="R35" s="314">
        <v>111576</v>
      </c>
      <c r="S35" s="314">
        <v>123952</v>
      </c>
      <c r="T35" s="314">
        <v>139232</v>
      </c>
      <c r="U35" s="314">
        <v>146066</v>
      </c>
      <c r="V35" s="357">
        <v>150970</v>
      </c>
    </row>
    <row r="36" spans="16:22">
      <c r="P36" s="313" t="s">
        <v>407</v>
      </c>
      <c r="Q36" s="314">
        <v>79518</v>
      </c>
      <c r="R36" s="314">
        <v>81676</v>
      </c>
      <c r="S36" s="314">
        <v>89202</v>
      </c>
      <c r="T36" s="314">
        <v>98848</v>
      </c>
      <c r="U36" s="314">
        <v>104129</v>
      </c>
      <c r="V36" s="357">
        <v>108805</v>
      </c>
    </row>
    <row r="37" spans="16:22">
      <c r="P37" s="313" t="s">
        <v>408</v>
      </c>
      <c r="Q37" s="314">
        <v>98387</v>
      </c>
      <c r="R37" s="314">
        <v>95221</v>
      </c>
      <c r="S37" s="314">
        <v>107740</v>
      </c>
      <c r="T37" s="314">
        <v>110769</v>
      </c>
      <c r="U37" s="314">
        <v>114757</v>
      </c>
      <c r="V37" s="357">
        <v>125348</v>
      </c>
    </row>
    <row r="38" spans="16:22">
      <c r="P38" s="313" t="s">
        <v>409</v>
      </c>
      <c r="Q38" s="314">
        <v>79392</v>
      </c>
      <c r="R38" s="314">
        <v>81499</v>
      </c>
      <c r="S38" s="314">
        <v>96271</v>
      </c>
      <c r="T38" s="314">
        <v>97468</v>
      </c>
      <c r="U38" s="314">
        <v>100340</v>
      </c>
      <c r="V38" s="357">
        <v>107821</v>
      </c>
    </row>
    <row r="39" spans="16:22">
      <c r="P39" s="313" t="s">
        <v>410</v>
      </c>
      <c r="Q39" s="314">
        <v>65063</v>
      </c>
      <c r="R39" s="314">
        <v>60759</v>
      </c>
      <c r="S39" s="314">
        <v>72051</v>
      </c>
      <c r="T39" s="314">
        <v>73229</v>
      </c>
      <c r="U39" s="314">
        <v>77785</v>
      </c>
      <c r="V39" s="357">
        <v>85543</v>
      </c>
    </row>
    <row r="40" spans="16:22">
      <c r="P40" s="194" t="s">
        <v>424</v>
      </c>
    </row>
  </sheetData>
  <mergeCells count="21">
    <mergeCell ref="A1:L1"/>
    <mergeCell ref="C15:E15"/>
    <mergeCell ref="A3:B3"/>
    <mergeCell ref="C3:L3"/>
    <mergeCell ref="L14:L15"/>
    <mergeCell ref="F6:I6"/>
    <mergeCell ref="A5:B6"/>
    <mergeCell ref="C5:L5"/>
    <mergeCell ref="L11:L13"/>
    <mergeCell ref="Q30:U30"/>
    <mergeCell ref="I26:J26"/>
    <mergeCell ref="P30:P31"/>
    <mergeCell ref="C22:E22"/>
    <mergeCell ref="L18:L24"/>
    <mergeCell ref="C20:E20"/>
    <mergeCell ref="L16:L17"/>
    <mergeCell ref="C10:J10"/>
    <mergeCell ref="C17:E17"/>
    <mergeCell ref="A10:B10"/>
    <mergeCell ref="C6:E6"/>
    <mergeCell ref="A7:B9"/>
  </mergeCells>
  <phoneticPr fontId="3" type="noConversion"/>
  <pageMargins left="0.65" right="0.62" top="1.01" bottom="0.47" header="0.5" footer="0.41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B1:AK26"/>
  <sheetViews>
    <sheetView zoomScale="85" zoomScaleNormal="85" zoomScaleSheetLayoutView="115" workbookViewId="0">
      <pane xSplit="4" ySplit="7" topLeftCell="E17" activePane="bottomRight" state="frozen"/>
      <selection activeCell="I11" sqref="I11"/>
      <selection pane="topRight" activeCell="I11" sqref="I11"/>
      <selection pane="bottomLeft" activeCell="I11" sqref="I11"/>
      <selection pane="bottomRight" activeCell="AO11" sqref="AO11"/>
    </sheetView>
  </sheetViews>
  <sheetFormatPr defaultColWidth="3.5546875" defaultRowHeight="17.100000000000001" customHeight="1"/>
  <cols>
    <col min="1" max="1" width="3.5546875" style="467"/>
    <col min="2" max="2" width="11.6640625" style="467" bestFit="1" customWidth="1"/>
    <col min="3" max="3" width="11.6640625" style="467" customWidth="1"/>
    <col min="4" max="4" width="36.5546875" style="467" customWidth="1"/>
    <col min="5" max="33" width="4.33203125" style="467" customWidth="1"/>
    <col min="34" max="34" width="17.88671875" style="469" customWidth="1"/>
    <col min="35" max="35" width="3.5546875" style="467"/>
    <col min="36" max="36" width="6.44140625" style="467" customWidth="1"/>
    <col min="37" max="37" width="5.88671875" style="475" customWidth="1"/>
    <col min="38" max="16384" width="3.5546875" style="467"/>
  </cols>
  <sheetData>
    <row r="1" spans="2:34" ht="31.5">
      <c r="B1" s="748" t="s">
        <v>454</v>
      </c>
      <c r="C1" s="748"/>
      <c r="D1" s="748"/>
      <c r="E1" s="748"/>
      <c r="F1" s="748"/>
      <c r="G1" s="748"/>
      <c r="H1" s="748"/>
      <c r="I1" s="748"/>
      <c r="J1" s="748"/>
      <c r="K1" s="748"/>
      <c r="L1" s="748"/>
      <c r="M1" s="748"/>
      <c r="N1" s="748"/>
      <c r="O1" s="748"/>
      <c r="P1" s="748"/>
      <c r="Q1" s="748"/>
      <c r="R1" s="748"/>
      <c r="S1" s="748"/>
      <c r="T1" s="748"/>
      <c r="U1" s="748"/>
      <c r="V1" s="748"/>
      <c r="W1" s="748"/>
      <c r="X1" s="748"/>
      <c r="Y1" s="748"/>
      <c r="Z1" s="748"/>
      <c r="AA1" s="748"/>
      <c r="AB1" s="748"/>
      <c r="AC1" s="748"/>
      <c r="AD1" s="748"/>
      <c r="AE1" s="748"/>
      <c r="AF1" s="748"/>
      <c r="AG1" s="748"/>
      <c r="AH1" s="748"/>
    </row>
    <row r="2" spans="2:34" ht="17.45" customHeight="1">
      <c r="B2" s="476"/>
      <c r="C2" s="534"/>
      <c r="D2" s="476"/>
      <c r="E2" s="476"/>
      <c r="F2" s="507"/>
      <c r="G2" s="505"/>
      <c r="H2" s="505"/>
      <c r="I2" s="505"/>
      <c r="J2" s="505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507"/>
      <c r="AG2" s="476"/>
      <c r="AH2" s="476"/>
    </row>
    <row r="3" spans="2:34" ht="17.45" customHeight="1">
      <c r="B3" s="766" t="s">
        <v>704</v>
      </c>
      <c r="C3" s="766"/>
      <c r="D3" s="766"/>
      <c r="E3" s="766"/>
      <c r="F3" s="766"/>
      <c r="G3" s="766"/>
      <c r="H3" s="505"/>
      <c r="I3" s="505"/>
      <c r="J3" s="505"/>
      <c r="K3" s="476"/>
      <c r="L3" s="476"/>
      <c r="M3" s="476"/>
      <c r="N3" s="476"/>
      <c r="O3" s="476"/>
      <c r="P3" s="476"/>
      <c r="Q3" s="476"/>
      <c r="R3" s="476"/>
      <c r="S3" s="476"/>
      <c r="T3" s="476"/>
      <c r="U3" s="476"/>
      <c r="V3" s="476"/>
      <c r="W3" s="476"/>
      <c r="X3" s="476"/>
      <c r="Y3" s="476"/>
      <c r="Z3" s="476"/>
      <c r="AA3" s="476"/>
      <c r="AB3" s="476"/>
      <c r="AC3" s="476"/>
      <c r="AD3" s="476"/>
      <c r="AE3" s="476"/>
      <c r="AF3" s="507"/>
      <c r="AG3" s="476"/>
      <c r="AH3" s="476"/>
    </row>
    <row r="4" spans="2:34" ht="17.45" customHeight="1">
      <c r="B4" s="766" t="s">
        <v>703</v>
      </c>
      <c r="C4" s="766"/>
      <c r="D4" s="766"/>
      <c r="E4" s="766"/>
      <c r="F4" s="514"/>
      <c r="G4" s="505"/>
      <c r="H4" s="505"/>
      <c r="I4" s="505"/>
      <c r="J4" s="505"/>
      <c r="K4" s="476"/>
      <c r="L4" s="476"/>
      <c r="M4" s="476"/>
      <c r="N4" s="476"/>
      <c r="O4" s="476"/>
      <c r="P4" s="476"/>
      <c r="Q4" s="476"/>
      <c r="R4" s="476"/>
      <c r="S4" s="476"/>
      <c r="T4" s="476"/>
      <c r="U4" s="476"/>
      <c r="V4" s="476"/>
      <c r="W4" s="476"/>
      <c r="X4" s="476"/>
      <c r="Y4" s="476"/>
      <c r="Z4" s="476"/>
      <c r="AA4" s="476"/>
      <c r="AB4" s="476"/>
      <c r="AC4" s="476"/>
      <c r="AD4" s="476"/>
      <c r="AE4" s="476"/>
      <c r="AF4" s="507"/>
      <c r="AG4" s="476"/>
      <c r="AH4" s="476"/>
    </row>
    <row r="5" spans="2:34" ht="4.5" customHeight="1" thickBot="1">
      <c r="B5" s="749"/>
      <c r="C5" s="749"/>
      <c r="D5" s="749"/>
      <c r="E5" s="468"/>
      <c r="F5" s="468"/>
      <c r="G5" s="468"/>
      <c r="H5" s="468"/>
      <c r="I5" s="468"/>
      <c r="J5" s="468"/>
      <c r="K5" s="468"/>
      <c r="L5" s="468"/>
      <c r="M5" s="468"/>
      <c r="N5" s="468"/>
      <c r="O5" s="468"/>
    </row>
    <row r="6" spans="2:34" ht="17.45" customHeight="1">
      <c r="B6" s="750" t="s">
        <v>455</v>
      </c>
      <c r="C6" s="769" t="s">
        <v>467</v>
      </c>
      <c r="D6" s="770"/>
      <c r="E6" s="763" t="s">
        <v>492</v>
      </c>
      <c r="F6" s="763"/>
      <c r="G6" s="763"/>
      <c r="H6" s="763"/>
      <c r="I6" s="763"/>
      <c r="J6" s="763"/>
      <c r="K6" s="763"/>
      <c r="L6" s="763"/>
      <c r="M6" s="764" t="s">
        <v>493</v>
      </c>
      <c r="N6" s="763"/>
      <c r="O6" s="763"/>
      <c r="P6" s="763"/>
      <c r="Q6" s="763"/>
      <c r="R6" s="763"/>
      <c r="S6" s="763"/>
      <c r="T6" s="763"/>
      <c r="U6" s="763"/>
      <c r="V6" s="763"/>
      <c r="W6" s="763"/>
      <c r="X6" s="763"/>
      <c r="Y6" s="764" t="s">
        <v>494</v>
      </c>
      <c r="Z6" s="763"/>
      <c r="AA6" s="763"/>
      <c r="AB6" s="763"/>
      <c r="AC6" s="763"/>
      <c r="AD6" s="763"/>
      <c r="AE6" s="763"/>
      <c r="AF6" s="763"/>
      <c r="AG6" s="765"/>
      <c r="AH6" s="752" t="s">
        <v>457</v>
      </c>
    </row>
    <row r="7" spans="2:34" ht="17.45" customHeight="1" thickBot="1">
      <c r="B7" s="751"/>
      <c r="C7" s="771"/>
      <c r="D7" s="772"/>
      <c r="E7" s="515" t="s">
        <v>674</v>
      </c>
      <c r="F7" s="515" t="s">
        <v>675</v>
      </c>
      <c r="G7" s="470" t="s">
        <v>676</v>
      </c>
      <c r="H7" s="470" t="s">
        <v>496</v>
      </c>
      <c r="I7" s="470" t="s">
        <v>677</v>
      </c>
      <c r="J7" s="470" t="s">
        <v>678</v>
      </c>
      <c r="K7" s="470" t="s">
        <v>679</v>
      </c>
      <c r="L7" s="470" t="s">
        <v>680</v>
      </c>
      <c r="M7" s="470" t="s">
        <v>458</v>
      </c>
      <c r="N7" s="470" t="s">
        <v>184</v>
      </c>
      <c r="O7" s="470" t="s">
        <v>185</v>
      </c>
      <c r="P7" s="470" t="s">
        <v>186</v>
      </c>
      <c r="Q7" s="470" t="s">
        <v>187</v>
      </c>
      <c r="R7" s="470" t="s">
        <v>188</v>
      </c>
      <c r="S7" s="470" t="s">
        <v>189</v>
      </c>
      <c r="T7" s="470" t="s">
        <v>179</v>
      </c>
      <c r="U7" s="470" t="s">
        <v>180</v>
      </c>
      <c r="V7" s="470" t="s">
        <v>181</v>
      </c>
      <c r="W7" s="470" t="s">
        <v>182</v>
      </c>
      <c r="X7" s="470" t="s">
        <v>183</v>
      </c>
      <c r="Y7" s="470" t="s">
        <v>458</v>
      </c>
      <c r="Z7" s="470" t="s">
        <v>184</v>
      </c>
      <c r="AA7" s="470" t="s">
        <v>185</v>
      </c>
      <c r="AB7" s="470" t="s">
        <v>186</v>
      </c>
      <c r="AC7" s="470" t="s">
        <v>187</v>
      </c>
      <c r="AD7" s="470" t="s">
        <v>495</v>
      </c>
      <c r="AE7" s="470" t="s">
        <v>681</v>
      </c>
      <c r="AF7" s="470" t="s">
        <v>496</v>
      </c>
      <c r="AG7" s="506" t="s">
        <v>682</v>
      </c>
      <c r="AH7" s="753"/>
    </row>
    <row r="8" spans="2:34" ht="39" customHeight="1">
      <c r="B8" s="754" t="s">
        <v>468</v>
      </c>
      <c r="C8" s="773" t="s">
        <v>31</v>
      </c>
      <c r="D8" s="774"/>
      <c r="E8" s="536">
        <v>1</v>
      </c>
      <c r="F8" s="536">
        <v>2</v>
      </c>
      <c r="G8" s="537">
        <v>3</v>
      </c>
      <c r="H8" s="537">
        <v>4</v>
      </c>
      <c r="I8" s="537">
        <v>5</v>
      </c>
      <c r="J8" s="537">
        <v>6</v>
      </c>
      <c r="K8" s="537">
        <v>7</v>
      </c>
      <c r="L8" s="537">
        <v>7.5</v>
      </c>
      <c r="M8" s="539"/>
      <c r="N8" s="539"/>
      <c r="O8" s="539"/>
      <c r="P8" s="539"/>
      <c r="Q8" s="539"/>
      <c r="R8" s="539"/>
      <c r="S8" s="539"/>
      <c r="T8" s="539"/>
      <c r="U8" s="540"/>
      <c r="V8" s="540"/>
      <c r="W8" s="540"/>
      <c r="X8" s="540"/>
      <c r="Y8" s="540"/>
      <c r="Z8" s="540"/>
      <c r="AA8" s="540"/>
      <c r="AB8" s="540"/>
      <c r="AC8" s="540"/>
      <c r="AD8" s="540"/>
      <c r="AE8" s="540"/>
      <c r="AF8" s="541"/>
      <c r="AG8" s="542"/>
      <c r="AH8" s="601" t="s">
        <v>685</v>
      </c>
    </row>
    <row r="9" spans="2:34" ht="39" customHeight="1">
      <c r="B9" s="754"/>
      <c r="C9" s="775" t="s">
        <v>143</v>
      </c>
      <c r="D9" s="776"/>
      <c r="E9" s="544"/>
      <c r="F9" s="544"/>
      <c r="G9" s="561">
        <v>1</v>
      </c>
      <c r="H9" s="561">
        <v>2</v>
      </c>
      <c r="I9" s="561">
        <v>3</v>
      </c>
      <c r="J9" s="561">
        <v>4</v>
      </c>
      <c r="K9" s="561">
        <v>5</v>
      </c>
      <c r="L9" s="561">
        <v>5.5</v>
      </c>
      <c r="M9" s="545"/>
      <c r="N9" s="545"/>
      <c r="O9" s="545"/>
      <c r="P9" s="545"/>
      <c r="Q9" s="545"/>
      <c r="R9" s="545"/>
      <c r="S9" s="545"/>
      <c r="T9" s="545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7"/>
      <c r="AG9" s="548"/>
      <c r="AH9" s="601" t="s">
        <v>686</v>
      </c>
    </row>
    <row r="10" spans="2:34" ht="39" customHeight="1">
      <c r="B10" s="754"/>
      <c r="C10" s="775" t="s">
        <v>469</v>
      </c>
      <c r="D10" s="776"/>
      <c r="E10" s="544"/>
      <c r="F10" s="544"/>
      <c r="G10" s="545"/>
      <c r="H10" s="545"/>
      <c r="I10" s="545"/>
      <c r="J10" s="545"/>
      <c r="K10" s="545"/>
      <c r="L10" s="545"/>
      <c r="M10" s="545"/>
      <c r="N10" s="545"/>
      <c r="O10" s="545"/>
      <c r="P10" s="545"/>
      <c r="Q10" s="545"/>
      <c r="R10" s="545"/>
      <c r="S10" s="545"/>
      <c r="T10" s="545"/>
      <c r="U10" s="546"/>
      <c r="V10" s="546"/>
      <c r="W10" s="546"/>
      <c r="X10" s="546"/>
      <c r="Y10" s="546"/>
      <c r="Z10" s="546"/>
      <c r="AA10" s="562">
        <v>1</v>
      </c>
      <c r="AB10" s="562">
        <v>2</v>
      </c>
      <c r="AC10" s="562">
        <v>3</v>
      </c>
      <c r="AD10" s="562">
        <v>4</v>
      </c>
      <c r="AE10" s="562">
        <v>5</v>
      </c>
      <c r="AF10" s="547"/>
      <c r="AG10" s="548"/>
      <c r="AH10" s="601" t="s">
        <v>687</v>
      </c>
    </row>
    <row r="11" spans="2:34" ht="39" customHeight="1">
      <c r="B11" s="754"/>
      <c r="C11" s="775" t="s">
        <v>459</v>
      </c>
      <c r="D11" s="776"/>
      <c r="E11" s="544"/>
      <c r="F11" s="544"/>
      <c r="G11" s="545"/>
      <c r="H11" s="545"/>
      <c r="I11" s="545"/>
      <c r="J11" s="545"/>
      <c r="K11" s="545"/>
      <c r="L11" s="545"/>
      <c r="M11" s="545"/>
      <c r="N11" s="545"/>
      <c r="O11" s="545"/>
      <c r="P11" s="545"/>
      <c r="Q11" s="545"/>
      <c r="R11" s="545"/>
      <c r="S11" s="545"/>
      <c r="T11" s="545"/>
      <c r="U11" s="546"/>
      <c r="V11" s="546"/>
      <c r="W11" s="546"/>
      <c r="X11" s="546"/>
      <c r="Y11" s="546"/>
      <c r="Z11" s="546"/>
      <c r="AA11" s="546"/>
      <c r="AB11" s="546">
        <v>0.5</v>
      </c>
      <c r="AC11" s="546">
        <v>1.5</v>
      </c>
      <c r="AD11" s="546">
        <v>2.5</v>
      </c>
      <c r="AE11" s="546">
        <v>3.5</v>
      </c>
      <c r="AF11" s="547"/>
      <c r="AG11" s="548"/>
      <c r="AH11" s="601" t="s">
        <v>688</v>
      </c>
    </row>
    <row r="12" spans="2:34" ht="39" customHeight="1" thickBot="1">
      <c r="B12" s="754"/>
      <c r="C12" s="777" t="s">
        <v>460</v>
      </c>
      <c r="D12" s="778"/>
      <c r="E12" s="549"/>
      <c r="F12" s="549"/>
      <c r="G12" s="550"/>
      <c r="H12" s="550"/>
      <c r="I12" s="550"/>
      <c r="J12" s="550"/>
      <c r="K12" s="550"/>
      <c r="L12" s="550"/>
      <c r="M12" s="550"/>
      <c r="N12" s="550"/>
      <c r="O12" s="550"/>
      <c r="P12" s="550"/>
      <c r="Q12" s="550"/>
      <c r="R12" s="550"/>
      <c r="S12" s="550"/>
      <c r="T12" s="550"/>
      <c r="U12" s="551"/>
      <c r="V12" s="551"/>
      <c r="W12" s="551"/>
      <c r="X12" s="551"/>
      <c r="Y12" s="551"/>
      <c r="Z12" s="551"/>
      <c r="AA12" s="551"/>
      <c r="AB12" s="551"/>
      <c r="AC12" s="563">
        <v>1</v>
      </c>
      <c r="AD12" s="563">
        <v>2</v>
      </c>
      <c r="AE12" s="563">
        <v>3</v>
      </c>
      <c r="AF12" s="564">
        <v>4</v>
      </c>
      <c r="AG12" s="565">
        <v>4.5</v>
      </c>
      <c r="AH12" s="602" t="s">
        <v>701</v>
      </c>
    </row>
    <row r="13" spans="2:34" ht="39" customHeight="1">
      <c r="B13" s="755" t="s">
        <v>461</v>
      </c>
      <c r="C13" s="773" t="s">
        <v>462</v>
      </c>
      <c r="D13" s="774"/>
      <c r="E13" s="567">
        <v>1</v>
      </c>
      <c r="F13" s="567">
        <v>2</v>
      </c>
      <c r="G13" s="568">
        <v>3</v>
      </c>
      <c r="H13" s="568">
        <v>4</v>
      </c>
      <c r="I13" s="568">
        <v>5</v>
      </c>
      <c r="J13" s="568">
        <v>6</v>
      </c>
      <c r="K13" s="553"/>
      <c r="L13" s="553"/>
      <c r="M13" s="553"/>
      <c r="N13" s="553"/>
      <c r="O13" s="553"/>
      <c r="P13" s="553"/>
      <c r="Q13" s="553"/>
      <c r="R13" s="553"/>
      <c r="S13" s="553"/>
      <c r="T13" s="553"/>
      <c r="U13" s="554"/>
      <c r="V13" s="554"/>
      <c r="W13" s="554"/>
      <c r="X13" s="554"/>
      <c r="Y13" s="554"/>
      <c r="Z13" s="554"/>
      <c r="AA13" s="554"/>
      <c r="AB13" s="554"/>
      <c r="AC13" s="554"/>
      <c r="AD13" s="554"/>
      <c r="AE13" s="554"/>
      <c r="AF13" s="555"/>
      <c r="AG13" s="556"/>
      <c r="AH13" s="538" t="s">
        <v>690</v>
      </c>
    </row>
    <row r="14" spans="2:34" ht="39" customHeight="1">
      <c r="B14" s="754"/>
      <c r="C14" s="767" t="s">
        <v>689</v>
      </c>
      <c r="D14" s="600" t="s">
        <v>144</v>
      </c>
      <c r="E14" s="572"/>
      <c r="F14" s="572"/>
      <c r="G14" s="573"/>
      <c r="H14" s="573"/>
      <c r="I14" s="574">
        <v>1</v>
      </c>
      <c r="J14" s="574">
        <v>2</v>
      </c>
      <c r="K14" s="574">
        <v>3</v>
      </c>
      <c r="L14" s="573">
        <v>3.5</v>
      </c>
      <c r="M14" s="573"/>
      <c r="N14" s="573"/>
      <c r="O14" s="573"/>
      <c r="P14" s="573"/>
      <c r="Q14" s="573"/>
      <c r="R14" s="573"/>
      <c r="S14" s="573"/>
      <c r="T14" s="573"/>
      <c r="U14" s="575"/>
      <c r="V14" s="575"/>
      <c r="W14" s="575"/>
      <c r="X14" s="575"/>
      <c r="Y14" s="575"/>
      <c r="Z14" s="575"/>
      <c r="AA14" s="575"/>
      <c r="AB14" s="575"/>
      <c r="AC14" s="575"/>
      <c r="AD14" s="575"/>
      <c r="AE14" s="575"/>
      <c r="AF14" s="576"/>
      <c r="AG14" s="577"/>
      <c r="AH14" s="538" t="s">
        <v>691</v>
      </c>
    </row>
    <row r="15" spans="2:34" ht="39" customHeight="1">
      <c r="B15" s="754"/>
      <c r="C15" s="768"/>
      <c r="D15" s="600" t="s">
        <v>145</v>
      </c>
      <c r="E15" s="572"/>
      <c r="F15" s="572"/>
      <c r="G15" s="573"/>
      <c r="H15" s="573"/>
      <c r="I15" s="573"/>
      <c r="J15" s="573">
        <v>0.5</v>
      </c>
      <c r="K15" s="573">
        <v>1.5</v>
      </c>
      <c r="L15" s="573">
        <v>2.5</v>
      </c>
      <c r="M15" s="573">
        <v>2.5</v>
      </c>
      <c r="N15" s="573">
        <v>4.5</v>
      </c>
      <c r="O15" s="573">
        <v>5.5</v>
      </c>
      <c r="P15" s="573">
        <v>6.5</v>
      </c>
      <c r="Q15" s="573">
        <v>7.5</v>
      </c>
      <c r="R15" s="573">
        <v>8.5</v>
      </c>
      <c r="S15" s="573">
        <v>9.5</v>
      </c>
      <c r="T15" s="573">
        <v>10.5</v>
      </c>
      <c r="U15" s="575">
        <v>11.5</v>
      </c>
      <c r="V15" s="578">
        <v>12</v>
      </c>
      <c r="W15" s="575"/>
      <c r="X15" s="575"/>
      <c r="Y15" s="575"/>
      <c r="Z15" s="575"/>
      <c r="AA15" s="575"/>
      <c r="AB15" s="575"/>
      <c r="AC15" s="575"/>
      <c r="AD15" s="575"/>
      <c r="AE15" s="575"/>
      <c r="AF15" s="576"/>
      <c r="AG15" s="577"/>
      <c r="AH15" s="538" t="s">
        <v>702</v>
      </c>
    </row>
    <row r="16" spans="2:34" ht="39" customHeight="1">
      <c r="B16" s="754"/>
      <c r="C16" s="775" t="s">
        <v>463</v>
      </c>
      <c r="D16" s="776"/>
      <c r="E16" s="572"/>
      <c r="F16" s="572"/>
      <c r="G16" s="573"/>
      <c r="H16" s="573"/>
      <c r="I16" s="573"/>
      <c r="J16" s="573"/>
      <c r="K16" s="573"/>
      <c r="L16" s="573"/>
      <c r="M16" s="573"/>
      <c r="N16" s="574">
        <v>1</v>
      </c>
      <c r="O16" s="574">
        <v>2</v>
      </c>
      <c r="P16" s="574">
        <v>3</v>
      </c>
      <c r="Q16" s="574">
        <v>4</v>
      </c>
      <c r="R16" s="574">
        <v>5</v>
      </c>
      <c r="S16" s="574">
        <v>6</v>
      </c>
      <c r="T16" s="574">
        <v>7</v>
      </c>
      <c r="U16" s="578">
        <v>8</v>
      </c>
      <c r="V16" s="578">
        <v>9</v>
      </c>
      <c r="W16" s="578">
        <v>10</v>
      </c>
      <c r="X16" s="578">
        <v>11</v>
      </c>
      <c r="Y16" s="578">
        <v>12</v>
      </c>
      <c r="Z16" s="575"/>
      <c r="AA16" s="575"/>
      <c r="AB16" s="575"/>
      <c r="AC16" s="575"/>
      <c r="AD16" s="575"/>
      <c r="AE16" s="575"/>
      <c r="AF16" s="576"/>
      <c r="AG16" s="577"/>
      <c r="AH16" s="538" t="s">
        <v>692</v>
      </c>
    </row>
    <row r="17" spans="2:34" ht="39" customHeight="1">
      <c r="B17" s="754"/>
      <c r="C17" s="779" t="s">
        <v>470</v>
      </c>
      <c r="D17" s="780"/>
      <c r="E17" s="572"/>
      <c r="F17" s="572"/>
      <c r="G17" s="573"/>
      <c r="H17" s="573"/>
      <c r="I17" s="573"/>
      <c r="J17" s="573"/>
      <c r="K17" s="573"/>
      <c r="L17" s="573"/>
      <c r="M17" s="573"/>
      <c r="N17" s="573"/>
      <c r="O17" s="573"/>
      <c r="P17" s="573"/>
      <c r="Q17" s="573"/>
      <c r="R17" s="573"/>
      <c r="S17" s="573"/>
      <c r="T17" s="574">
        <v>1</v>
      </c>
      <c r="U17" s="578">
        <v>2</v>
      </c>
      <c r="V17" s="578">
        <v>3</v>
      </c>
      <c r="W17" s="578">
        <v>4</v>
      </c>
      <c r="X17" s="578">
        <v>5</v>
      </c>
      <c r="Y17" s="578">
        <v>6</v>
      </c>
      <c r="Z17" s="578">
        <v>7</v>
      </c>
      <c r="AA17" s="578">
        <v>8</v>
      </c>
      <c r="AB17" s="578">
        <v>9</v>
      </c>
      <c r="AC17" s="578">
        <v>10</v>
      </c>
      <c r="AD17" s="575"/>
      <c r="AE17" s="575"/>
      <c r="AF17" s="576"/>
      <c r="AG17" s="577"/>
      <c r="AH17" s="538" t="s">
        <v>693</v>
      </c>
    </row>
    <row r="18" spans="2:34" ht="39" customHeight="1">
      <c r="B18" s="754"/>
      <c r="C18" s="775" t="s">
        <v>471</v>
      </c>
      <c r="D18" s="776"/>
      <c r="E18" s="572"/>
      <c r="F18" s="572"/>
      <c r="G18" s="573"/>
      <c r="H18" s="573"/>
      <c r="I18" s="573"/>
      <c r="J18" s="573"/>
      <c r="K18" s="573"/>
      <c r="L18" s="573"/>
      <c r="M18" s="573"/>
      <c r="N18" s="573"/>
      <c r="O18" s="573"/>
      <c r="P18" s="573"/>
      <c r="Q18" s="573"/>
      <c r="R18" s="573"/>
      <c r="S18" s="573"/>
      <c r="T18" s="573"/>
      <c r="U18" s="575"/>
      <c r="V18" s="575"/>
      <c r="W18" s="575"/>
      <c r="X18" s="578">
        <v>1</v>
      </c>
      <c r="Y18" s="578">
        <v>2</v>
      </c>
      <c r="Z18" s="578">
        <v>3</v>
      </c>
      <c r="AA18" s="578">
        <v>4</v>
      </c>
      <c r="AB18" s="578">
        <v>5</v>
      </c>
      <c r="AC18" s="578">
        <v>6</v>
      </c>
      <c r="AD18" s="578">
        <v>7</v>
      </c>
      <c r="AE18" s="578">
        <v>8</v>
      </c>
      <c r="AF18" s="579">
        <v>9</v>
      </c>
      <c r="AG18" s="577">
        <v>9.5</v>
      </c>
      <c r="AH18" s="538" t="s">
        <v>694</v>
      </c>
    </row>
    <row r="19" spans="2:34" ht="39" customHeight="1">
      <c r="B19" s="754"/>
      <c r="C19" s="775" t="s">
        <v>472</v>
      </c>
      <c r="D19" s="776"/>
      <c r="E19" s="572"/>
      <c r="F19" s="572"/>
      <c r="G19" s="573"/>
      <c r="H19" s="573"/>
      <c r="I19" s="573"/>
      <c r="J19" s="573"/>
      <c r="K19" s="573"/>
      <c r="L19" s="573"/>
      <c r="M19" s="573"/>
      <c r="N19" s="573"/>
      <c r="O19" s="573"/>
      <c r="P19" s="573"/>
      <c r="Q19" s="573"/>
      <c r="R19" s="573"/>
      <c r="S19" s="573"/>
      <c r="T19" s="573"/>
      <c r="U19" s="578">
        <v>1</v>
      </c>
      <c r="V19" s="578">
        <v>2</v>
      </c>
      <c r="W19" s="578">
        <v>3</v>
      </c>
      <c r="X19" s="578">
        <v>4</v>
      </c>
      <c r="Y19" s="578">
        <v>5</v>
      </c>
      <c r="Z19" s="578">
        <v>6</v>
      </c>
      <c r="AA19" s="578">
        <v>7</v>
      </c>
      <c r="AB19" s="578">
        <v>8</v>
      </c>
      <c r="AC19" s="578">
        <v>9</v>
      </c>
      <c r="AD19" s="578">
        <v>10</v>
      </c>
      <c r="AE19" s="578">
        <v>11</v>
      </c>
      <c r="AF19" s="579">
        <v>12</v>
      </c>
      <c r="AG19" s="577">
        <v>12.5</v>
      </c>
      <c r="AH19" s="538" t="s">
        <v>695</v>
      </c>
    </row>
    <row r="20" spans="2:34" ht="39" customHeight="1" thickBot="1">
      <c r="B20" s="756"/>
      <c r="C20" s="777" t="s">
        <v>464</v>
      </c>
      <c r="D20" s="778"/>
      <c r="E20" s="580"/>
      <c r="F20" s="580"/>
      <c r="G20" s="581"/>
      <c r="H20" s="581"/>
      <c r="I20" s="581"/>
      <c r="J20" s="581"/>
      <c r="K20" s="581"/>
      <c r="L20" s="581"/>
      <c r="M20" s="581"/>
      <c r="N20" s="581"/>
      <c r="O20" s="581"/>
      <c r="P20" s="581"/>
      <c r="Q20" s="581"/>
      <c r="R20" s="581"/>
      <c r="S20" s="581"/>
      <c r="T20" s="581"/>
      <c r="U20" s="582"/>
      <c r="V20" s="582"/>
      <c r="W20" s="583">
        <v>1</v>
      </c>
      <c r="X20" s="583">
        <v>2</v>
      </c>
      <c r="Y20" s="583">
        <v>3</v>
      </c>
      <c r="Z20" s="583">
        <v>4</v>
      </c>
      <c r="AA20" s="583">
        <v>5</v>
      </c>
      <c r="AB20" s="583">
        <v>6</v>
      </c>
      <c r="AC20" s="583">
        <v>7</v>
      </c>
      <c r="AD20" s="583">
        <v>8</v>
      </c>
      <c r="AE20" s="583">
        <v>9</v>
      </c>
      <c r="AF20" s="584">
        <v>10</v>
      </c>
      <c r="AG20" s="585">
        <v>11</v>
      </c>
      <c r="AH20" s="538" t="s">
        <v>696</v>
      </c>
    </row>
    <row r="21" spans="2:34" ht="39" customHeight="1">
      <c r="B21" s="755" t="s">
        <v>159</v>
      </c>
      <c r="C21" s="781" t="s">
        <v>465</v>
      </c>
      <c r="D21" s="782"/>
      <c r="E21" s="586"/>
      <c r="F21" s="586"/>
      <c r="G21" s="587"/>
      <c r="H21" s="587"/>
      <c r="I21" s="587"/>
      <c r="J21" s="587"/>
      <c r="K21" s="587"/>
      <c r="L21" s="588">
        <v>1</v>
      </c>
      <c r="M21" s="588">
        <v>2</v>
      </c>
      <c r="N21" s="588">
        <v>3</v>
      </c>
      <c r="O21" s="588">
        <v>4</v>
      </c>
      <c r="P21" s="588">
        <v>5</v>
      </c>
      <c r="Q21" s="588">
        <v>6</v>
      </c>
      <c r="R21" s="588">
        <v>7</v>
      </c>
      <c r="S21" s="588">
        <v>8</v>
      </c>
      <c r="T21" s="588">
        <v>9</v>
      </c>
      <c r="U21" s="589">
        <v>10</v>
      </c>
      <c r="V21" s="589">
        <v>11</v>
      </c>
      <c r="W21" s="589">
        <v>12</v>
      </c>
      <c r="X21" s="589">
        <v>13</v>
      </c>
      <c r="Y21" s="589">
        <v>14</v>
      </c>
      <c r="Z21" s="589">
        <v>15</v>
      </c>
      <c r="AA21" s="589">
        <v>16</v>
      </c>
      <c r="AB21" s="589">
        <v>17</v>
      </c>
      <c r="AC21" s="589">
        <v>18</v>
      </c>
      <c r="AD21" s="589">
        <v>19</v>
      </c>
      <c r="AE21" s="589">
        <v>20</v>
      </c>
      <c r="AF21" s="590">
        <v>21</v>
      </c>
      <c r="AG21" s="591">
        <v>22</v>
      </c>
      <c r="AH21" s="538" t="s">
        <v>697</v>
      </c>
    </row>
    <row r="22" spans="2:34" ht="39" customHeight="1">
      <c r="B22" s="754"/>
      <c r="C22" s="775" t="s">
        <v>146</v>
      </c>
      <c r="D22" s="776"/>
      <c r="E22" s="572"/>
      <c r="F22" s="572"/>
      <c r="G22" s="573"/>
      <c r="H22" s="573"/>
      <c r="I22" s="573"/>
      <c r="J22" s="573"/>
      <c r="K22" s="573"/>
      <c r="L22" s="573"/>
      <c r="M22" s="573"/>
      <c r="N22" s="573"/>
      <c r="O22" s="573"/>
      <c r="P22" s="573"/>
      <c r="Q22" s="573"/>
      <c r="R22" s="574">
        <v>1</v>
      </c>
      <c r="S22" s="574">
        <v>2</v>
      </c>
      <c r="T22" s="574">
        <v>3</v>
      </c>
      <c r="U22" s="578">
        <v>4</v>
      </c>
      <c r="V22" s="578">
        <v>5</v>
      </c>
      <c r="W22" s="578">
        <v>6</v>
      </c>
      <c r="X22" s="578">
        <v>7</v>
      </c>
      <c r="Y22" s="578">
        <v>8</v>
      </c>
      <c r="Z22" s="578">
        <v>9</v>
      </c>
      <c r="AA22" s="578">
        <v>10</v>
      </c>
      <c r="AB22" s="578">
        <v>11</v>
      </c>
      <c r="AC22" s="578">
        <v>12</v>
      </c>
      <c r="AD22" s="578">
        <v>13</v>
      </c>
      <c r="AE22" s="578">
        <v>14</v>
      </c>
      <c r="AF22" s="579">
        <v>15</v>
      </c>
      <c r="AG22" s="592">
        <v>16</v>
      </c>
      <c r="AH22" s="538" t="s">
        <v>719</v>
      </c>
    </row>
    <row r="23" spans="2:34" ht="39" customHeight="1" thickBot="1">
      <c r="B23" s="754"/>
      <c r="C23" s="777" t="s">
        <v>466</v>
      </c>
      <c r="D23" s="778"/>
      <c r="E23" s="572"/>
      <c r="F23" s="572"/>
      <c r="G23" s="573"/>
      <c r="H23" s="573"/>
      <c r="I23" s="573"/>
      <c r="J23" s="573"/>
      <c r="K23" s="573"/>
      <c r="L23" s="573"/>
      <c r="M23" s="573"/>
      <c r="N23" s="573"/>
      <c r="O23" s="573"/>
      <c r="P23" s="573"/>
      <c r="Q23" s="573"/>
      <c r="R23" s="573"/>
      <c r="S23" s="573"/>
      <c r="T23" s="573"/>
      <c r="U23" s="575"/>
      <c r="V23" s="578">
        <v>1</v>
      </c>
      <c r="W23" s="578">
        <v>2</v>
      </c>
      <c r="X23" s="578">
        <v>3</v>
      </c>
      <c r="Y23" s="578">
        <v>4</v>
      </c>
      <c r="Z23" s="578">
        <v>5</v>
      </c>
      <c r="AA23" s="575"/>
      <c r="AB23" s="575"/>
      <c r="AC23" s="575"/>
      <c r="AD23" s="575"/>
      <c r="AE23" s="575"/>
      <c r="AF23" s="576"/>
      <c r="AG23" s="577"/>
      <c r="AH23" s="603" t="s">
        <v>698</v>
      </c>
    </row>
    <row r="24" spans="2:34" ht="39" customHeight="1">
      <c r="B24" s="757" t="s">
        <v>673</v>
      </c>
      <c r="C24" s="758"/>
      <c r="D24" s="759"/>
      <c r="E24" s="586"/>
      <c r="F24" s="586"/>
      <c r="G24" s="587"/>
      <c r="H24" s="587"/>
      <c r="I24" s="587"/>
      <c r="J24" s="587">
        <v>0.5</v>
      </c>
      <c r="K24" s="587">
        <v>1.5</v>
      </c>
      <c r="L24" s="587">
        <v>2.5</v>
      </c>
      <c r="M24" s="587">
        <v>3.5</v>
      </c>
      <c r="N24" s="587">
        <v>4.5</v>
      </c>
      <c r="O24" s="587">
        <v>5.5</v>
      </c>
      <c r="P24" s="587">
        <v>6.5</v>
      </c>
      <c r="Q24" s="587">
        <v>7.5</v>
      </c>
      <c r="R24" s="587">
        <v>8.5</v>
      </c>
      <c r="S24" s="587">
        <v>9.5</v>
      </c>
      <c r="T24" s="587">
        <v>10.5</v>
      </c>
      <c r="U24" s="593">
        <v>11.5</v>
      </c>
      <c r="V24" s="593">
        <v>12.5</v>
      </c>
      <c r="W24" s="593">
        <v>13.5</v>
      </c>
      <c r="X24" s="593">
        <v>14.5</v>
      </c>
      <c r="Y24" s="593">
        <v>15.5</v>
      </c>
      <c r="Z24" s="593">
        <v>16.5</v>
      </c>
      <c r="AA24" s="593">
        <v>17.5</v>
      </c>
      <c r="AB24" s="593">
        <v>18.5</v>
      </c>
      <c r="AC24" s="593">
        <v>19.5</v>
      </c>
      <c r="AD24" s="593">
        <v>20.5</v>
      </c>
      <c r="AE24" s="593">
        <v>21.5</v>
      </c>
      <c r="AF24" s="594">
        <v>22.5</v>
      </c>
      <c r="AG24" s="591">
        <v>23.5</v>
      </c>
      <c r="AH24" s="604" t="s">
        <v>699</v>
      </c>
    </row>
    <row r="25" spans="2:34" ht="39" customHeight="1">
      <c r="B25" s="760" t="s">
        <v>644</v>
      </c>
      <c r="C25" s="761"/>
      <c r="D25" s="762"/>
      <c r="E25" s="572"/>
      <c r="F25" s="572"/>
      <c r="G25" s="573"/>
      <c r="H25" s="573"/>
      <c r="I25" s="573"/>
      <c r="J25" s="573"/>
      <c r="K25" s="573">
        <v>0.5</v>
      </c>
      <c r="L25" s="573">
        <v>1.5</v>
      </c>
      <c r="M25" s="573">
        <v>2.5</v>
      </c>
      <c r="N25" s="573">
        <v>3.5</v>
      </c>
      <c r="O25" s="573">
        <v>4.5</v>
      </c>
      <c r="P25" s="573">
        <v>5.5</v>
      </c>
      <c r="Q25" s="573">
        <v>6.5</v>
      </c>
      <c r="R25" s="573">
        <v>7.5</v>
      </c>
      <c r="S25" s="573">
        <v>8.5</v>
      </c>
      <c r="T25" s="573">
        <v>9.5</v>
      </c>
      <c r="U25" s="575">
        <v>10.5</v>
      </c>
      <c r="V25" s="575">
        <v>11.5</v>
      </c>
      <c r="W25" s="575">
        <v>12.5</v>
      </c>
      <c r="X25" s="575">
        <v>13.5</v>
      </c>
      <c r="Y25" s="575">
        <v>14.5</v>
      </c>
      <c r="Z25" s="575">
        <v>15.5</v>
      </c>
      <c r="AA25" s="575">
        <v>16.5</v>
      </c>
      <c r="AB25" s="575">
        <v>17.5</v>
      </c>
      <c r="AC25" s="575">
        <v>18.5</v>
      </c>
      <c r="AD25" s="575">
        <v>19.5</v>
      </c>
      <c r="AE25" s="575">
        <v>20.5</v>
      </c>
      <c r="AF25" s="576">
        <v>21.5</v>
      </c>
      <c r="AG25" s="577">
        <v>22.5</v>
      </c>
      <c r="AH25" s="601" t="s">
        <v>700</v>
      </c>
    </row>
    <row r="26" spans="2:34" ht="39" customHeight="1" thickBot="1">
      <c r="B26" s="745" t="s">
        <v>70</v>
      </c>
      <c r="C26" s="746"/>
      <c r="D26" s="747"/>
      <c r="E26" s="595"/>
      <c r="F26" s="595"/>
      <c r="G26" s="596"/>
      <c r="H26" s="596"/>
      <c r="I26" s="596"/>
      <c r="J26" s="596"/>
      <c r="K26" s="596">
        <v>0.5</v>
      </c>
      <c r="L26" s="596">
        <v>1.5</v>
      </c>
      <c r="M26" s="596">
        <v>2.5</v>
      </c>
      <c r="N26" s="596">
        <v>3.5</v>
      </c>
      <c r="O26" s="596">
        <v>4.5</v>
      </c>
      <c r="P26" s="596">
        <v>5.5</v>
      </c>
      <c r="Q26" s="596">
        <v>6.5</v>
      </c>
      <c r="R26" s="596">
        <v>7.5</v>
      </c>
      <c r="S26" s="596">
        <v>8.5</v>
      </c>
      <c r="T26" s="596">
        <v>9.5</v>
      </c>
      <c r="U26" s="597">
        <v>10.5</v>
      </c>
      <c r="V26" s="597">
        <v>11.5</v>
      </c>
      <c r="W26" s="597">
        <v>12.5</v>
      </c>
      <c r="X26" s="597">
        <v>13.5</v>
      </c>
      <c r="Y26" s="597">
        <v>14.5</v>
      </c>
      <c r="Z26" s="597">
        <v>15</v>
      </c>
      <c r="AA26" s="597">
        <v>16.5</v>
      </c>
      <c r="AB26" s="597">
        <v>17.5</v>
      </c>
      <c r="AC26" s="597">
        <v>18.5</v>
      </c>
      <c r="AD26" s="597">
        <v>19.5</v>
      </c>
      <c r="AE26" s="597">
        <v>20.5</v>
      </c>
      <c r="AF26" s="598">
        <v>21.5</v>
      </c>
      <c r="AG26" s="599">
        <v>22.5</v>
      </c>
      <c r="AH26" s="602" t="s">
        <v>700</v>
      </c>
    </row>
  </sheetData>
  <mergeCells count="31">
    <mergeCell ref="C12:D12"/>
    <mergeCell ref="C13:D13"/>
    <mergeCell ref="C22:D22"/>
    <mergeCell ref="C23:D23"/>
    <mergeCell ref="C20:D20"/>
    <mergeCell ref="C16:D16"/>
    <mergeCell ref="C17:D17"/>
    <mergeCell ref="C18:D18"/>
    <mergeCell ref="C19:D19"/>
    <mergeCell ref="C21:D21"/>
    <mergeCell ref="C6:D7"/>
    <mergeCell ref="C8:D8"/>
    <mergeCell ref="C9:D9"/>
    <mergeCell ref="C10:D10"/>
    <mergeCell ref="C11:D11"/>
    <mergeCell ref="B26:D26"/>
    <mergeCell ref="B1:AH1"/>
    <mergeCell ref="B5:D5"/>
    <mergeCell ref="B6:B7"/>
    <mergeCell ref="AH6:AH7"/>
    <mergeCell ref="B8:B12"/>
    <mergeCell ref="B13:B20"/>
    <mergeCell ref="B21:B23"/>
    <mergeCell ref="B24:D24"/>
    <mergeCell ref="B25:D25"/>
    <mergeCell ref="E6:L6"/>
    <mergeCell ref="Y6:AG6"/>
    <mergeCell ref="M6:X6"/>
    <mergeCell ref="B3:G3"/>
    <mergeCell ref="B4:E4"/>
    <mergeCell ref="C14:C15"/>
  </mergeCells>
  <phoneticPr fontId="3" type="noConversion"/>
  <printOptions horizontalCentered="1"/>
  <pageMargins left="0.47" right="0.39" top="0.56000000000000005" bottom="0" header="0.31496062992125984" footer="0.31496062992125984"/>
  <pageSetup paperSize="9" scale="57" fitToHeight="0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C000"/>
  </sheetPr>
  <dimension ref="A1:Q40"/>
  <sheetViews>
    <sheetView view="pageBreakPreview" zoomScaleNormal="110" zoomScaleSheetLayoutView="120" workbookViewId="0">
      <selection activeCell="T8" sqref="T8"/>
    </sheetView>
  </sheetViews>
  <sheetFormatPr defaultRowHeight="13.5"/>
  <cols>
    <col min="1" max="1" width="8.77734375" style="421" customWidth="1"/>
    <col min="2" max="2" width="7.77734375" style="423" customWidth="1"/>
    <col min="3" max="5" width="8.77734375" style="424" customWidth="1"/>
    <col min="6" max="6" width="10.77734375" style="421" customWidth="1"/>
    <col min="7" max="7" width="13.77734375" style="421" customWidth="1"/>
    <col min="8" max="8" width="9.77734375" style="421" customWidth="1"/>
    <col min="9" max="9" width="12.5546875" style="421" hidden="1" customWidth="1"/>
    <col min="10" max="10" width="0" style="421" hidden="1" customWidth="1"/>
    <col min="11" max="11" width="11.77734375" style="421" hidden="1" customWidth="1"/>
    <col min="12" max="12" width="11" style="421" hidden="1" customWidth="1"/>
    <col min="13" max="14" width="0" style="421" hidden="1" customWidth="1"/>
    <col min="15" max="15" width="13.88671875" style="421" hidden="1" customWidth="1"/>
    <col min="16" max="16" width="0" style="421" hidden="1" customWidth="1"/>
    <col min="17" max="17" width="17.44140625" style="421" hidden="1" customWidth="1"/>
    <col min="18" max="18" width="0" style="421" hidden="1" customWidth="1"/>
    <col min="19" max="256" width="8.88671875" style="421"/>
    <col min="257" max="257" width="8.77734375" style="421" customWidth="1"/>
    <col min="258" max="258" width="7.77734375" style="421" customWidth="1"/>
    <col min="259" max="261" width="8.77734375" style="421" customWidth="1"/>
    <col min="262" max="262" width="10.77734375" style="421" customWidth="1"/>
    <col min="263" max="263" width="13.77734375" style="421" customWidth="1"/>
    <col min="264" max="264" width="9.77734375" style="421" customWidth="1"/>
    <col min="265" max="265" width="12.5546875" style="421" customWidth="1"/>
    <col min="266" max="266" width="8.88671875" style="421"/>
    <col min="267" max="267" width="11.77734375" style="421" customWidth="1"/>
    <col min="268" max="268" width="11" style="421" customWidth="1"/>
    <col min="269" max="270" width="8.88671875" style="421"/>
    <col min="271" max="271" width="13.88671875" style="421" bestFit="1" customWidth="1"/>
    <col min="272" max="512" width="8.88671875" style="421"/>
    <col min="513" max="513" width="8.77734375" style="421" customWidth="1"/>
    <col min="514" max="514" width="7.77734375" style="421" customWidth="1"/>
    <col min="515" max="517" width="8.77734375" style="421" customWidth="1"/>
    <col min="518" max="518" width="10.77734375" style="421" customWidth="1"/>
    <col min="519" max="519" width="13.77734375" style="421" customWidth="1"/>
    <col min="520" max="520" width="9.77734375" style="421" customWidth="1"/>
    <col min="521" max="521" width="12.5546875" style="421" customWidth="1"/>
    <col min="522" max="522" width="8.88671875" style="421"/>
    <col min="523" max="523" width="11.77734375" style="421" customWidth="1"/>
    <col min="524" max="524" width="11" style="421" customWidth="1"/>
    <col min="525" max="526" width="8.88671875" style="421"/>
    <col min="527" max="527" width="13.88671875" style="421" bestFit="1" customWidth="1"/>
    <col min="528" max="768" width="8.88671875" style="421"/>
    <col min="769" max="769" width="8.77734375" style="421" customWidth="1"/>
    <col min="770" max="770" width="7.77734375" style="421" customWidth="1"/>
    <col min="771" max="773" width="8.77734375" style="421" customWidth="1"/>
    <col min="774" max="774" width="10.77734375" style="421" customWidth="1"/>
    <col min="775" max="775" width="13.77734375" style="421" customWidth="1"/>
    <col min="776" max="776" width="9.77734375" style="421" customWidth="1"/>
    <col min="777" max="777" width="12.5546875" style="421" customWidth="1"/>
    <col min="778" max="778" width="8.88671875" style="421"/>
    <col min="779" max="779" width="11.77734375" style="421" customWidth="1"/>
    <col min="780" max="780" width="11" style="421" customWidth="1"/>
    <col min="781" max="782" width="8.88671875" style="421"/>
    <col min="783" max="783" width="13.88671875" style="421" bestFit="1" customWidth="1"/>
    <col min="784" max="1024" width="8.88671875" style="421"/>
    <col min="1025" max="1025" width="8.77734375" style="421" customWidth="1"/>
    <col min="1026" max="1026" width="7.77734375" style="421" customWidth="1"/>
    <col min="1027" max="1029" width="8.77734375" style="421" customWidth="1"/>
    <col min="1030" max="1030" width="10.77734375" style="421" customWidth="1"/>
    <col min="1031" max="1031" width="13.77734375" style="421" customWidth="1"/>
    <col min="1032" max="1032" width="9.77734375" style="421" customWidth="1"/>
    <col min="1033" max="1033" width="12.5546875" style="421" customWidth="1"/>
    <col min="1034" max="1034" width="8.88671875" style="421"/>
    <col min="1035" max="1035" width="11.77734375" style="421" customWidth="1"/>
    <col min="1036" max="1036" width="11" style="421" customWidth="1"/>
    <col min="1037" max="1038" width="8.88671875" style="421"/>
    <col min="1039" max="1039" width="13.88671875" style="421" bestFit="1" customWidth="1"/>
    <col min="1040" max="1280" width="8.88671875" style="421"/>
    <col min="1281" max="1281" width="8.77734375" style="421" customWidth="1"/>
    <col min="1282" max="1282" width="7.77734375" style="421" customWidth="1"/>
    <col min="1283" max="1285" width="8.77734375" style="421" customWidth="1"/>
    <col min="1286" max="1286" width="10.77734375" style="421" customWidth="1"/>
    <col min="1287" max="1287" width="13.77734375" style="421" customWidth="1"/>
    <col min="1288" max="1288" width="9.77734375" style="421" customWidth="1"/>
    <col min="1289" max="1289" width="12.5546875" style="421" customWidth="1"/>
    <col min="1290" max="1290" width="8.88671875" style="421"/>
    <col min="1291" max="1291" width="11.77734375" style="421" customWidth="1"/>
    <col min="1292" max="1292" width="11" style="421" customWidth="1"/>
    <col min="1293" max="1294" width="8.88671875" style="421"/>
    <col min="1295" max="1295" width="13.88671875" style="421" bestFit="1" customWidth="1"/>
    <col min="1296" max="1536" width="8.88671875" style="421"/>
    <col min="1537" max="1537" width="8.77734375" style="421" customWidth="1"/>
    <col min="1538" max="1538" width="7.77734375" style="421" customWidth="1"/>
    <col min="1539" max="1541" width="8.77734375" style="421" customWidth="1"/>
    <col min="1542" max="1542" width="10.77734375" style="421" customWidth="1"/>
    <col min="1543" max="1543" width="13.77734375" style="421" customWidth="1"/>
    <col min="1544" max="1544" width="9.77734375" style="421" customWidth="1"/>
    <col min="1545" max="1545" width="12.5546875" style="421" customWidth="1"/>
    <col min="1546" max="1546" width="8.88671875" style="421"/>
    <col min="1547" max="1547" width="11.77734375" style="421" customWidth="1"/>
    <col min="1548" max="1548" width="11" style="421" customWidth="1"/>
    <col min="1549" max="1550" width="8.88671875" style="421"/>
    <col min="1551" max="1551" width="13.88671875" style="421" bestFit="1" customWidth="1"/>
    <col min="1552" max="1792" width="8.88671875" style="421"/>
    <col min="1793" max="1793" width="8.77734375" style="421" customWidth="1"/>
    <col min="1794" max="1794" width="7.77734375" style="421" customWidth="1"/>
    <col min="1795" max="1797" width="8.77734375" style="421" customWidth="1"/>
    <col min="1798" max="1798" width="10.77734375" style="421" customWidth="1"/>
    <col min="1799" max="1799" width="13.77734375" style="421" customWidth="1"/>
    <col min="1800" max="1800" width="9.77734375" style="421" customWidth="1"/>
    <col min="1801" max="1801" width="12.5546875" style="421" customWidth="1"/>
    <col min="1802" max="1802" width="8.88671875" style="421"/>
    <col min="1803" max="1803" width="11.77734375" style="421" customWidth="1"/>
    <col min="1804" max="1804" width="11" style="421" customWidth="1"/>
    <col min="1805" max="1806" width="8.88671875" style="421"/>
    <col min="1807" max="1807" width="13.88671875" style="421" bestFit="1" customWidth="1"/>
    <col min="1808" max="2048" width="8.88671875" style="421"/>
    <col min="2049" max="2049" width="8.77734375" style="421" customWidth="1"/>
    <col min="2050" max="2050" width="7.77734375" style="421" customWidth="1"/>
    <col min="2051" max="2053" width="8.77734375" style="421" customWidth="1"/>
    <col min="2054" max="2054" width="10.77734375" style="421" customWidth="1"/>
    <col min="2055" max="2055" width="13.77734375" style="421" customWidth="1"/>
    <col min="2056" max="2056" width="9.77734375" style="421" customWidth="1"/>
    <col min="2057" max="2057" width="12.5546875" style="421" customWidth="1"/>
    <col min="2058" max="2058" width="8.88671875" style="421"/>
    <col min="2059" max="2059" width="11.77734375" style="421" customWidth="1"/>
    <col min="2060" max="2060" width="11" style="421" customWidth="1"/>
    <col min="2061" max="2062" width="8.88671875" style="421"/>
    <col min="2063" max="2063" width="13.88671875" style="421" bestFit="1" customWidth="1"/>
    <col min="2064" max="2304" width="8.88671875" style="421"/>
    <col min="2305" max="2305" width="8.77734375" style="421" customWidth="1"/>
    <col min="2306" max="2306" width="7.77734375" style="421" customWidth="1"/>
    <col min="2307" max="2309" width="8.77734375" style="421" customWidth="1"/>
    <col min="2310" max="2310" width="10.77734375" style="421" customWidth="1"/>
    <col min="2311" max="2311" width="13.77734375" style="421" customWidth="1"/>
    <col min="2312" max="2312" width="9.77734375" style="421" customWidth="1"/>
    <col min="2313" max="2313" width="12.5546875" style="421" customWidth="1"/>
    <col min="2314" max="2314" width="8.88671875" style="421"/>
    <col min="2315" max="2315" width="11.77734375" style="421" customWidth="1"/>
    <col min="2316" max="2316" width="11" style="421" customWidth="1"/>
    <col min="2317" max="2318" width="8.88671875" style="421"/>
    <col min="2319" max="2319" width="13.88671875" style="421" bestFit="1" customWidth="1"/>
    <col min="2320" max="2560" width="8.88671875" style="421"/>
    <col min="2561" max="2561" width="8.77734375" style="421" customWidth="1"/>
    <col min="2562" max="2562" width="7.77734375" style="421" customWidth="1"/>
    <col min="2563" max="2565" width="8.77734375" style="421" customWidth="1"/>
    <col min="2566" max="2566" width="10.77734375" style="421" customWidth="1"/>
    <col min="2567" max="2567" width="13.77734375" style="421" customWidth="1"/>
    <col min="2568" max="2568" width="9.77734375" style="421" customWidth="1"/>
    <col min="2569" max="2569" width="12.5546875" style="421" customWidth="1"/>
    <col min="2570" max="2570" width="8.88671875" style="421"/>
    <col min="2571" max="2571" width="11.77734375" style="421" customWidth="1"/>
    <col min="2572" max="2572" width="11" style="421" customWidth="1"/>
    <col min="2573" max="2574" width="8.88671875" style="421"/>
    <col min="2575" max="2575" width="13.88671875" style="421" bestFit="1" customWidth="1"/>
    <col min="2576" max="2816" width="8.88671875" style="421"/>
    <col min="2817" max="2817" width="8.77734375" style="421" customWidth="1"/>
    <col min="2818" max="2818" width="7.77734375" style="421" customWidth="1"/>
    <col min="2819" max="2821" width="8.77734375" style="421" customWidth="1"/>
    <col min="2822" max="2822" width="10.77734375" style="421" customWidth="1"/>
    <col min="2823" max="2823" width="13.77734375" style="421" customWidth="1"/>
    <col min="2824" max="2824" width="9.77734375" style="421" customWidth="1"/>
    <col min="2825" max="2825" width="12.5546875" style="421" customWidth="1"/>
    <col min="2826" max="2826" width="8.88671875" style="421"/>
    <col min="2827" max="2827" width="11.77734375" style="421" customWidth="1"/>
    <col min="2828" max="2828" width="11" style="421" customWidth="1"/>
    <col min="2829" max="2830" width="8.88671875" style="421"/>
    <col min="2831" max="2831" width="13.88671875" style="421" bestFit="1" customWidth="1"/>
    <col min="2832" max="3072" width="8.88671875" style="421"/>
    <col min="3073" max="3073" width="8.77734375" style="421" customWidth="1"/>
    <col min="3074" max="3074" width="7.77734375" style="421" customWidth="1"/>
    <col min="3075" max="3077" width="8.77734375" style="421" customWidth="1"/>
    <col min="3078" max="3078" width="10.77734375" style="421" customWidth="1"/>
    <col min="3079" max="3079" width="13.77734375" style="421" customWidth="1"/>
    <col min="3080" max="3080" width="9.77734375" style="421" customWidth="1"/>
    <col min="3081" max="3081" width="12.5546875" style="421" customWidth="1"/>
    <col min="3082" max="3082" width="8.88671875" style="421"/>
    <col min="3083" max="3083" width="11.77734375" style="421" customWidth="1"/>
    <col min="3084" max="3084" width="11" style="421" customWidth="1"/>
    <col min="3085" max="3086" width="8.88671875" style="421"/>
    <col min="3087" max="3087" width="13.88671875" style="421" bestFit="1" customWidth="1"/>
    <col min="3088" max="3328" width="8.88671875" style="421"/>
    <col min="3329" max="3329" width="8.77734375" style="421" customWidth="1"/>
    <col min="3330" max="3330" width="7.77734375" style="421" customWidth="1"/>
    <col min="3331" max="3333" width="8.77734375" style="421" customWidth="1"/>
    <col min="3334" max="3334" width="10.77734375" style="421" customWidth="1"/>
    <col min="3335" max="3335" width="13.77734375" style="421" customWidth="1"/>
    <col min="3336" max="3336" width="9.77734375" style="421" customWidth="1"/>
    <col min="3337" max="3337" width="12.5546875" style="421" customWidth="1"/>
    <col min="3338" max="3338" width="8.88671875" style="421"/>
    <col min="3339" max="3339" width="11.77734375" style="421" customWidth="1"/>
    <col min="3340" max="3340" width="11" style="421" customWidth="1"/>
    <col min="3341" max="3342" width="8.88671875" style="421"/>
    <col min="3343" max="3343" width="13.88671875" style="421" bestFit="1" customWidth="1"/>
    <col min="3344" max="3584" width="8.88671875" style="421"/>
    <col min="3585" max="3585" width="8.77734375" style="421" customWidth="1"/>
    <col min="3586" max="3586" width="7.77734375" style="421" customWidth="1"/>
    <col min="3587" max="3589" width="8.77734375" style="421" customWidth="1"/>
    <col min="3590" max="3590" width="10.77734375" style="421" customWidth="1"/>
    <col min="3591" max="3591" width="13.77734375" style="421" customWidth="1"/>
    <col min="3592" max="3592" width="9.77734375" style="421" customWidth="1"/>
    <col min="3593" max="3593" width="12.5546875" style="421" customWidth="1"/>
    <col min="3594" max="3594" width="8.88671875" style="421"/>
    <col min="3595" max="3595" width="11.77734375" style="421" customWidth="1"/>
    <col min="3596" max="3596" width="11" style="421" customWidth="1"/>
    <col min="3597" max="3598" width="8.88671875" style="421"/>
    <col min="3599" max="3599" width="13.88671875" style="421" bestFit="1" customWidth="1"/>
    <col min="3600" max="3840" width="8.88671875" style="421"/>
    <col min="3841" max="3841" width="8.77734375" style="421" customWidth="1"/>
    <col min="3842" max="3842" width="7.77734375" style="421" customWidth="1"/>
    <col min="3843" max="3845" width="8.77734375" style="421" customWidth="1"/>
    <col min="3846" max="3846" width="10.77734375" style="421" customWidth="1"/>
    <col min="3847" max="3847" width="13.77734375" style="421" customWidth="1"/>
    <col min="3848" max="3848" width="9.77734375" style="421" customWidth="1"/>
    <col min="3849" max="3849" width="12.5546875" style="421" customWidth="1"/>
    <col min="3850" max="3850" width="8.88671875" style="421"/>
    <col min="3851" max="3851" width="11.77734375" style="421" customWidth="1"/>
    <col min="3852" max="3852" width="11" style="421" customWidth="1"/>
    <col min="3853" max="3854" width="8.88671875" style="421"/>
    <col min="3855" max="3855" width="13.88671875" style="421" bestFit="1" customWidth="1"/>
    <col min="3856" max="4096" width="8.88671875" style="421"/>
    <col min="4097" max="4097" width="8.77734375" style="421" customWidth="1"/>
    <col min="4098" max="4098" width="7.77734375" style="421" customWidth="1"/>
    <col min="4099" max="4101" width="8.77734375" style="421" customWidth="1"/>
    <col min="4102" max="4102" width="10.77734375" style="421" customWidth="1"/>
    <col min="4103" max="4103" width="13.77734375" style="421" customWidth="1"/>
    <col min="4104" max="4104" width="9.77734375" style="421" customWidth="1"/>
    <col min="4105" max="4105" width="12.5546875" style="421" customWidth="1"/>
    <col min="4106" max="4106" width="8.88671875" style="421"/>
    <col min="4107" max="4107" width="11.77734375" style="421" customWidth="1"/>
    <col min="4108" max="4108" width="11" style="421" customWidth="1"/>
    <col min="4109" max="4110" width="8.88671875" style="421"/>
    <col min="4111" max="4111" width="13.88671875" style="421" bestFit="1" customWidth="1"/>
    <col min="4112" max="4352" width="8.88671875" style="421"/>
    <col min="4353" max="4353" width="8.77734375" style="421" customWidth="1"/>
    <col min="4354" max="4354" width="7.77734375" style="421" customWidth="1"/>
    <col min="4355" max="4357" width="8.77734375" style="421" customWidth="1"/>
    <col min="4358" max="4358" width="10.77734375" style="421" customWidth="1"/>
    <col min="4359" max="4359" width="13.77734375" style="421" customWidth="1"/>
    <col min="4360" max="4360" width="9.77734375" style="421" customWidth="1"/>
    <col min="4361" max="4361" width="12.5546875" style="421" customWidth="1"/>
    <col min="4362" max="4362" width="8.88671875" style="421"/>
    <col min="4363" max="4363" width="11.77734375" style="421" customWidth="1"/>
    <col min="4364" max="4364" width="11" style="421" customWidth="1"/>
    <col min="4365" max="4366" width="8.88671875" style="421"/>
    <col min="4367" max="4367" width="13.88671875" style="421" bestFit="1" customWidth="1"/>
    <col min="4368" max="4608" width="8.88671875" style="421"/>
    <col min="4609" max="4609" width="8.77734375" style="421" customWidth="1"/>
    <col min="4610" max="4610" width="7.77734375" style="421" customWidth="1"/>
    <col min="4611" max="4613" width="8.77734375" style="421" customWidth="1"/>
    <col min="4614" max="4614" width="10.77734375" style="421" customWidth="1"/>
    <col min="4615" max="4615" width="13.77734375" style="421" customWidth="1"/>
    <col min="4616" max="4616" width="9.77734375" style="421" customWidth="1"/>
    <col min="4617" max="4617" width="12.5546875" style="421" customWidth="1"/>
    <col min="4618" max="4618" width="8.88671875" style="421"/>
    <col min="4619" max="4619" width="11.77734375" style="421" customWidth="1"/>
    <col min="4620" max="4620" width="11" style="421" customWidth="1"/>
    <col min="4621" max="4622" width="8.88671875" style="421"/>
    <col min="4623" max="4623" width="13.88671875" style="421" bestFit="1" customWidth="1"/>
    <col min="4624" max="4864" width="8.88671875" style="421"/>
    <col min="4865" max="4865" width="8.77734375" style="421" customWidth="1"/>
    <col min="4866" max="4866" width="7.77734375" style="421" customWidth="1"/>
    <col min="4867" max="4869" width="8.77734375" style="421" customWidth="1"/>
    <col min="4870" max="4870" width="10.77734375" style="421" customWidth="1"/>
    <col min="4871" max="4871" width="13.77734375" style="421" customWidth="1"/>
    <col min="4872" max="4872" width="9.77734375" style="421" customWidth="1"/>
    <col min="4873" max="4873" width="12.5546875" style="421" customWidth="1"/>
    <col min="4874" max="4874" width="8.88671875" style="421"/>
    <col min="4875" max="4875" width="11.77734375" style="421" customWidth="1"/>
    <col min="4876" max="4876" width="11" style="421" customWidth="1"/>
    <col min="4877" max="4878" width="8.88671875" style="421"/>
    <col min="4879" max="4879" width="13.88671875" style="421" bestFit="1" customWidth="1"/>
    <col min="4880" max="5120" width="8.88671875" style="421"/>
    <col min="5121" max="5121" width="8.77734375" style="421" customWidth="1"/>
    <col min="5122" max="5122" width="7.77734375" style="421" customWidth="1"/>
    <col min="5123" max="5125" width="8.77734375" style="421" customWidth="1"/>
    <col min="5126" max="5126" width="10.77734375" style="421" customWidth="1"/>
    <col min="5127" max="5127" width="13.77734375" style="421" customWidth="1"/>
    <col min="5128" max="5128" width="9.77734375" style="421" customWidth="1"/>
    <col min="5129" max="5129" width="12.5546875" style="421" customWidth="1"/>
    <col min="5130" max="5130" width="8.88671875" style="421"/>
    <col min="5131" max="5131" width="11.77734375" style="421" customWidth="1"/>
    <col min="5132" max="5132" width="11" style="421" customWidth="1"/>
    <col min="5133" max="5134" width="8.88671875" style="421"/>
    <col min="5135" max="5135" width="13.88671875" style="421" bestFit="1" customWidth="1"/>
    <col min="5136" max="5376" width="8.88671875" style="421"/>
    <col min="5377" max="5377" width="8.77734375" style="421" customWidth="1"/>
    <col min="5378" max="5378" width="7.77734375" style="421" customWidth="1"/>
    <col min="5379" max="5381" width="8.77734375" style="421" customWidth="1"/>
    <col min="5382" max="5382" width="10.77734375" style="421" customWidth="1"/>
    <col min="5383" max="5383" width="13.77734375" style="421" customWidth="1"/>
    <col min="5384" max="5384" width="9.77734375" style="421" customWidth="1"/>
    <col min="5385" max="5385" width="12.5546875" style="421" customWidth="1"/>
    <col min="5386" max="5386" width="8.88671875" style="421"/>
    <col min="5387" max="5387" width="11.77734375" style="421" customWidth="1"/>
    <col min="5388" max="5388" width="11" style="421" customWidth="1"/>
    <col min="5389" max="5390" width="8.88671875" style="421"/>
    <col min="5391" max="5391" width="13.88671875" style="421" bestFit="1" customWidth="1"/>
    <col min="5392" max="5632" width="8.88671875" style="421"/>
    <col min="5633" max="5633" width="8.77734375" style="421" customWidth="1"/>
    <col min="5634" max="5634" width="7.77734375" style="421" customWidth="1"/>
    <col min="5635" max="5637" width="8.77734375" style="421" customWidth="1"/>
    <col min="5638" max="5638" width="10.77734375" style="421" customWidth="1"/>
    <col min="5639" max="5639" width="13.77734375" style="421" customWidth="1"/>
    <col min="5640" max="5640" width="9.77734375" style="421" customWidth="1"/>
    <col min="5641" max="5641" width="12.5546875" style="421" customWidth="1"/>
    <col min="5642" max="5642" width="8.88671875" style="421"/>
    <col min="5643" max="5643" width="11.77734375" style="421" customWidth="1"/>
    <col min="5644" max="5644" width="11" style="421" customWidth="1"/>
    <col min="5645" max="5646" width="8.88671875" style="421"/>
    <col min="5647" max="5647" width="13.88671875" style="421" bestFit="1" customWidth="1"/>
    <col min="5648" max="5888" width="8.88671875" style="421"/>
    <col min="5889" max="5889" width="8.77734375" style="421" customWidth="1"/>
    <col min="5890" max="5890" width="7.77734375" style="421" customWidth="1"/>
    <col min="5891" max="5893" width="8.77734375" style="421" customWidth="1"/>
    <col min="5894" max="5894" width="10.77734375" style="421" customWidth="1"/>
    <col min="5895" max="5895" width="13.77734375" style="421" customWidth="1"/>
    <col min="5896" max="5896" width="9.77734375" style="421" customWidth="1"/>
    <col min="5897" max="5897" width="12.5546875" style="421" customWidth="1"/>
    <col min="5898" max="5898" width="8.88671875" style="421"/>
    <col min="5899" max="5899" width="11.77734375" style="421" customWidth="1"/>
    <col min="5900" max="5900" width="11" style="421" customWidth="1"/>
    <col min="5901" max="5902" width="8.88671875" style="421"/>
    <col min="5903" max="5903" width="13.88671875" style="421" bestFit="1" customWidth="1"/>
    <col min="5904" max="6144" width="8.88671875" style="421"/>
    <col min="6145" max="6145" width="8.77734375" style="421" customWidth="1"/>
    <col min="6146" max="6146" width="7.77734375" style="421" customWidth="1"/>
    <col min="6147" max="6149" width="8.77734375" style="421" customWidth="1"/>
    <col min="6150" max="6150" width="10.77734375" style="421" customWidth="1"/>
    <col min="6151" max="6151" width="13.77734375" style="421" customWidth="1"/>
    <col min="6152" max="6152" width="9.77734375" style="421" customWidth="1"/>
    <col min="6153" max="6153" width="12.5546875" style="421" customWidth="1"/>
    <col min="6154" max="6154" width="8.88671875" style="421"/>
    <col min="6155" max="6155" width="11.77734375" style="421" customWidth="1"/>
    <col min="6156" max="6156" width="11" style="421" customWidth="1"/>
    <col min="6157" max="6158" width="8.88671875" style="421"/>
    <col min="6159" max="6159" width="13.88671875" style="421" bestFit="1" customWidth="1"/>
    <col min="6160" max="6400" width="8.88671875" style="421"/>
    <col min="6401" max="6401" width="8.77734375" style="421" customWidth="1"/>
    <col min="6402" max="6402" width="7.77734375" style="421" customWidth="1"/>
    <col min="6403" max="6405" width="8.77734375" style="421" customWidth="1"/>
    <col min="6406" max="6406" width="10.77734375" style="421" customWidth="1"/>
    <col min="6407" max="6407" width="13.77734375" style="421" customWidth="1"/>
    <col min="6408" max="6408" width="9.77734375" style="421" customWidth="1"/>
    <col min="6409" max="6409" width="12.5546875" style="421" customWidth="1"/>
    <col min="6410" max="6410" width="8.88671875" style="421"/>
    <col min="6411" max="6411" width="11.77734375" style="421" customWidth="1"/>
    <col min="6412" max="6412" width="11" style="421" customWidth="1"/>
    <col min="6413" max="6414" width="8.88671875" style="421"/>
    <col min="6415" max="6415" width="13.88671875" style="421" bestFit="1" customWidth="1"/>
    <col min="6416" max="6656" width="8.88671875" style="421"/>
    <col min="6657" max="6657" width="8.77734375" style="421" customWidth="1"/>
    <col min="6658" max="6658" width="7.77734375" style="421" customWidth="1"/>
    <col min="6659" max="6661" width="8.77734375" style="421" customWidth="1"/>
    <col min="6662" max="6662" width="10.77734375" style="421" customWidth="1"/>
    <col min="6663" max="6663" width="13.77734375" style="421" customWidth="1"/>
    <col min="6664" max="6664" width="9.77734375" style="421" customWidth="1"/>
    <col min="6665" max="6665" width="12.5546875" style="421" customWidth="1"/>
    <col min="6666" max="6666" width="8.88671875" style="421"/>
    <col min="6667" max="6667" width="11.77734375" style="421" customWidth="1"/>
    <col min="6668" max="6668" width="11" style="421" customWidth="1"/>
    <col min="6669" max="6670" width="8.88671875" style="421"/>
    <col min="6671" max="6671" width="13.88671875" style="421" bestFit="1" customWidth="1"/>
    <col min="6672" max="6912" width="8.88671875" style="421"/>
    <col min="6913" max="6913" width="8.77734375" style="421" customWidth="1"/>
    <col min="6914" max="6914" width="7.77734375" style="421" customWidth="1"/>
    <col min="6915" max="6917" width="8.77734375" style="421" customWidth="1"/>
    <col min="6918" max="6918" width="10.77734375" style="421" customWidth="1"/>
    <col min="6919" max="6919" width="13.77734375" style="421" customWidth="1"/>
    <col min="6920" max="6920" width="9.77734375" style="421" customWidth="1"/>
    <col min="6921" max="6921" width="12.5546875" style="421" customWidth="1"/>
    <col min="6922" max="6922" width="8.88671875" style="421"/>
    <col min="6923" max="6923" width="11.77734375" style="421" customWidth="1"/>
    <col min="6924" max="6924" width="11" style="421" customWidth="1"/>
    <col min="6925" max="6926" width="8.88671875" style="421"/>
    <col min="6927" max="6927" width="13.88671875" style="421" bestFit="1" customWidth="1"/>
    <col min="6928" max="7168" width="8.88671875" style="421"/>
    <col min="7169" max="7169" width="8.77734375" style="421" customWidth="1"/>
    <col min="7170" max="7170" width="7.77734375" style="421" customWidth="1"/>
    <col min="7171" max="7173" width="8.77734375" style="421" customWidth="1"/>
    <col min="7174" max="7174" width="10.77734375" style="421" customWidth="1"/>
    <col min="7175" max="7175" width="13.77734375" style="421" customWidth="1"/>
    <col min="7176" max="7176" width="9.77734375" style="421" customWidth="1"/>
    <col min="7177" max="7177" width="12.5546875" style="421" customWidth="1"/>
    <col min="7178" max="7178" width="8.88671875" style="421"/>
    <col min="7179" max="7179" width="11.77734375" style="421" customWidth="1"/>
    <col min="7180" max="7180" width="11" style="421" customWidth="1"/>
    <col min="7181" max="7182" width="8.88671875" style="421"/>
    <col min="7183" max="7183" width="13.88671875" style="421" bestFit="1" customWidth="1"/>
    <col min="7184" max="7424" width="8.88671875" style="421"/>
    <col min="7425" max="7425" width="8.77734375" style="421" customWidth="1"/>
    <col min="7426" max="7426" width="7.77734375" style="421" customWidth="1"/>
    <col min="7427" max="7429" width="8.77734375" style="421" customWidth="1"/>
    <col min="7430" max="7430" width="10.77734375" style="421" customWidth="1"/>
    <col min="7431" max="7431" width="13.77734375" style="421" customWidth="1"/>
    <col min="7432" max="7432" width="9.77734375" style="421" customWidth="1"/>
    <col min="7433" max="7433" width="12.5546875" style="421" customWidth="1"/>
    <col min="7434" max="7434" width="8.88671875" style="421"/>
    <col min="7435" max="7435" width="11.77734375" style="421" customWidth="1"/>
    <col min="7436" max="7436" width="11" style="421" customWidth="1"/>
    <col min="7437" max="7438" width="8.88671875" style="421"/>
    <col min="7439" max="7439" width="13.88671875" style="421" bestFit="1" customWidth="1"/>
    <col min="7440" max="7680" width="8.88671875" style="421"/>
    <col min="7681" max="7681" width="8.77734375" style="421" customWidth="1"/>
    <col min="7682" max="7682" width="7.77734375" style="421" customWidth="1"/>
    <col min="7683" max="7685" width="8.77734375" style="421" customWidth="1"/>
    <col min="7686" max="7686" width="10.77734375" style="421" customWidth="1"/>
    <col min="7687" max="7687" width="13.77734375" style="421" customWidth="1"/>
    <col min="7688" max="7688" width="9.77734375" style="421" customWidth="1"/>
    <col min="7689" max="7689" width="12.5546875" style="421" customWidth="1"/>
    <col min="7690" max="7690" width="8.88671875" style="421"/>
    <col min="7691" max="7691" width="11.77734375" style="421" customWidth="1"/>
    <col min="7692" max="7692" width="11" style="421" customWidth="1"/>
    <col min="7693" max="7694" width="8.88671875" style="421"/>
    <col min="7695" max="7695" width="13.88671875" style="421" bestFit="1" customWidth="1"/>
    <col min="7696" max="7936" width="8.88671875" style="421"/>
    <col min="7937" max="7937" width="8.77734375" style="421" customWidth="1"/>
    <col min="7938" max="7938" width="7.77734375" style="421" customWidth="1"/>
    <col min="7939" max="7941" width="8.77734375" style="421" customWidth="1"/>
    <col min="7942" max="7942" width="10.77734375" style="421" customWidth="1"/>
    <col min="7943" max="7943" width="13.77734375" style="421" customWidth="1"/>
    <col min="7944" max="7944" width="9.77734375" style="421" customWidth="1"/>
    <col min="7945" max="7945" width="12.5546875" style="421" customWidth="1"/>
    <col min="7946" max="7946" width="8.88671875" style="421"/>
    <col min="7947" max="7947" width="11.77734375" style="421" customWidth="1"/>
    <col min="7948" max="7948" width="11" style="421" customWidth="1"/>
    <col min="7949" max="7950" width="8.88671875" style="421"/>
    <col min="7951" max="7951" width="13.88671875" style="421" bestFit="1" customWidth="1"/>
    <col min="7952" max="8192" width="8.88671875" style="421"/>
    <col min="8193" max="8193" width="8.77734375" style="421" customWidth="1"/>
    <col min="8194" max="8194" width="7.77734375" style="421" customWidth="1"/>
    <col min="8195" max="8197" width="8.77734375" style="421" customWidth="1"/>
    <col min="8198" max="8198" width="10.77734375" style="421" customWidth="1"/>
    <col min="8199" max="8199" width="13.77734375" style="421" customWidth="1"/>
    <col min="8200" max="8200" width="9.77734375" style="421" customWidth="1"/>
    <col min="8201" max="8201" width="12.5546875" style="421" customWidth="1"/>
    <col min="8202" max="8202" width="8.88671875" style="421"/>
    <col min="8203" max="8203" width="11.77734375" style="421" customWidth="1"/>
    <col min="8204" max="8204" width="11" style="421" customWidth="1"/>
    <col min="8205" max="8206" width="8.88671875" style="421"/>
    <col min="8207" max="8207" width="13.88671875" style="421" bestFit="1" customWidth="1"/>
    <col min="8208" max="8448" width="8.88671875" style="421"/>
    <col min="8449" max="8449" width="8.77734375" style="421" customWidth="1"/>
    <col min="8450" max="8450" width="7.77734375" style="421" customWidth="1"/>
    <col min="8451" max="8453" width="8.77734375" style="421" customWidth="1"/>
    <col min="8454" max="8454" width="10.77734375" style="421" customWidth="1"/>
    <col min="8455" max="8455" width="13.77734375" style="421" customWidth="1"/>
    <col min="8456" max="8456" width="9.77734375" style="421" customWidth="1"/>
    <col min="8457" max="8457" width="12.5546875" style="421" customWidth="1"/>
    <col min="8458" max="8458" width="8.88671875" style="421"/>
    <col min="8459" max="8459" width="11.77734375" style="421" customWidth="1"/>
    <col min="8460" max="8460" width="11" style="421" customWidth="1"/>
    <col min="8461" max="8462" width="8.88671875" style="421"/>
    <col min="8463" max="8463" width="13.88671875" style="421" bestFit="1" customWidth="1"/>
    <col min="8464" max="8704" width="8.88671875" style="421"/>
    <col min="8705" max="8705" width="8.77734375" style="421" customWidth="1"/>
    <col min="8706" max="8706" width="7.77734375" style="421" customWidth="1"/>
    <col min="8707" max="8709" width="8.77734375" style="421" customWidth="1"/>
    <col min="8710" max="8710" width="10.77734375" style="421" customWidth="1"/>
    <col min="8711" max="8711" width="13.77734375" style="421" customWidth="1"/>
    <col min="8712" max="8712" width="9.77734375" style="421" customWidth="1"/>
    <col min="8713" max="8713" width="12.5546875" style="421" customWidth="1"/>
    <col min="8714" max="8714" width="8.88671875" style="421"/>
    <col min="8715" max="8715" width="11.77734375" style="421" customWidth="1"/>
    <col min="8716" max="8716" width="11" style="421" customWidth="1"/>
    <col min="8717" max="8718" width="8.88671875" style="421"/>
    <col min="8719" max="8719" width="13.88671875" style="421" bestFit="1" customWidth="1"/>
    <col min="8720" max="8960" width="8.88671875" style="421"/>
    <col min="8961" max="8961" width="8.77734375" style="421" customWidth="1"/>
    <col min="8962" max="8962" width="7.77734375" style="421" customWidth="1"/>
    <col min="8963" max="8965" width="8.77734375" style="421" customWidth="1"/>
    <col min="8966" max="8966" width="10.77734375" style="421" customWidth="1"/>
    <col min="8967" max="8967" width="13.77734375" style="421" customWidth="1"/>
    <col min="8968" max="8968" width="9.77734375" style="421" customWidth="1"/>
    <col min="8969" max="8969" width="12.5546875" style="421" customWidth="1"/>
    <col min="8970" max="8970" width="8.88671875" style="421"/>
    <col min="8971" max="8971" width="11.77734375" style="421" customWidth="1"/>
    <col min="8972" max="8972" width="11" style="421" customWidth="1"/>
    <col min="8973" max="8974" width="8.88671875" style="421"/>
    <col min="8975" max="8975" width="13.88671875" style="421" bestFit="1" customWidth="1"/>
    <col min="8976" max="9216" width="8.88671875" style="421"/>
    <col min="9217" max="9217" width="8.77734375" style="421" customWidth="1"/>
    <col min="9218" max="9218" width="7.77734375" style="421" customWidth="1"/>
    <col min="9219" max="9221" width="8.77734375" style="421" customWidth="1"/>
    <col min="9222" max="9222" width="10.77734375" style="421" customWidth="1"/>
    <col min="9223" max="9223" width="13.77734375" style="421" customWidth="1"/>
    <col min="9224" max="9224" width="9.77734375" style="421" customWidth="1"/>
    <col min="9225" max="9225" width="12.5546875" style="421" customWidth="1"/>
    <col min="9226" max="9226" width="8.88671875" style="421"/>
    <col min="9227" max="9227" width="11.77734375" style="421" customWidth="1"/>
    <col min="9228" max="9228" width="11" style="421" customWidth="1"/>
    <col min="9229" max="9230" width="8.88671875" style="421"/>
    <col min="9231" max="9231" width="13.88671875" style="421" bestFit="1" customWidth="1"/>
    <col min="9232" max="9472" width="8.88671875" style="421"/>
    <col min="9473" max="9473" width="8.77734375" style="421" customWidth="1"/>
    <col min="9474" max="9474" width="7.77734375" style="421" customWidth="1"/>
    <col min="9475" max="9477" width="8.77734375" style="421" customWidth="1"/>
    <col min="9478" max="9478" width="10.77734375" style="421" customWidth="1"/>
    <col min="9479" max="9479" width="13.77734375" style="421" customWidth="1"/>
    <col min="9480" max="9480" width="9.77734375" style="421" customWidth="1"/>
    <col min="9481" max="9481" width="12.5546875" style="421" customWidth="1"/>
    <col min="9482" max="9482" width="8.88671875" style="421"/>
    <col min="9483" max="9483" width="11.77734375" style="421" customWidth="1"/>
    <col min="9484" max="9484" width="11" style="421" customWidth="1"/>
    <col min="9485" max="9486" width="8.88671875" style="421"/>
    <col min="9487" max="9487" width="13.88671875" style="421" bestFit="1" customWidth="1"/>
    <col min="9488" max="9728" width="8.88671875" style="421"/>
    <col min="9729" max="9729" width="8.77734375" style="421" customWidth="1"/>
    <col min="9730" max="9730" width="7.77734375" style="421" customWidth="1"/>
    <col min="9731" max="9733" width="8.77734375" style="421" customWidth="1"/>
    <col min="9734" max="9734" width="10.77734375" style="421" customWidth="1"/>
    <col min="9735" max="9735" width="13.77734375" style="421" customWidth="1"/>
    <col min="9736" max="9736" width="9.77734375" style="421" customWidth="1"/>
    <col min="9737" max="9737" width="12.5546875" style="421" customWidth="1"/>
    <col min="9738" max="9738" width="8.88671875" style="421"/>
    <col min="9739" max="9739" width="11.77734375" style="421" customWidth="1"/>
    <col min="9740" max="9740" width="11" style="421" customWidth="1"/>
    <col min="9741" max="9742" width="8.88671875" style="421"/>
    <col min="9743" max="9743" width="13.88671875" style="421" bestFit="1" customWidth="1"/>
    <col min="9744" max="9984" width="8.88671875" style="421"/>
    <col min="9985" max="9985" width="8.77734375" style="421" customWidth="1"/>
    <col min="9986" max="9986" width="7.77734375" style="421" customWidth="1"/>
    <col min="9987" max="9989" width="8.77734375" style="421" customWidth="1"/>
    <col min="9990" max="9990" width="10.77734375" style="421" customWidth="1"/>
    <col min="9991" max="9991" width="13.77734375" style="421" customWidth="1"/>
    <col min="9992" max="9992" width="9.77734375" style="421" customWidth="1"/>
    <col min="9993" max="9993" width="12.5546875" style="421" customWidth="1"/>
    <col min="9994" max="9994" width="8.88671875" style="421"/>
    <col min="9995" max="9995" width="11.77734375" style="421" customWidth="1"/>
    <col min="9996" max="9996" width="11" style="421" customWidth="1"/>
    <col min="9997" max="9998" width="8.88671875" style="421"/>
    <col min="9999" max="9999" width="13.88671875" style="421" bestFit="1" customWidth="1"/>
    <col min="10000" max="10240" width="8.88671875" style="421"/>
    <col min="10241" max="10241" width="8.77734375" style="421" customWidth="1"/>
    <col min="10242" max="10242" width="7.77734375" style="421" customWidth="1"/>
    <col min="10243" max="10245" width="8.77734375" style="421" customWidth="1"/>
    <col min="10246" max="10246" width="10.77734375" style="421" customWidth="1"/>
    <col min="10247" max="10247" width="13.77734375" style="421" customWidth="1"/>
    <col min="10248" max="10248" width="9.77734375" style="421" customWidth="1"/>
    <col min="10249" max="10249" width="12.5546875" style="421" customWidth="1"/>
    <col min="10250" max="10250" width="8.88671875" style="421"/>
    <col min="10251" max="10251" width="11.77734375" style="421" customWidth="1"/>
    <col min="10252" max="10252" width="11" style="421" customWidth="1"/>
    <col min="10253" max="10254" width="8.88671875" style="421"/>
    <col min="10255" max="10255" width="13.88671875" style="421" bestFit="1" customWidth="1"/>
    <col min="10256" max="10496" width="8.88671875" style="421"/>
    <col min="10497" max="10497" width="8.77734375" style="421" customWidth="1"/>
    <col min="10498" max="10498" width="7.77734375" style="421" customWidth="1"/>
    <col min="10499" max="10501" width="8.77734375" style="421" customWidth="1"/>
    <col min="10502" max="10502" width="10.77734375" style="421" customWidth="1"/>
    <col min="10503" max="10503" width="13.77734375" style="421" customWidth="1"/>
    <col min="10504" max="10504" width="9.77734375" style="421" customWidth="1"/>
    <col min="10505" max="10505" width="12.5546875" style="421" customWidth="1"/>
    <col min="10506" max="10506" width="8.88671875" style="421"/>
    <col min="10507" max="10507" width="11.77734375" style="421" customWidth="1"/>
    <col min="10508" max="10508" width="11" style="421" customWidth="1"/>
    <col min="10509" max="10510" width="8.88671875" style="421"/>
    <col min="10511" max="10511" width="13.88671875" style="421" bestFit="1" customWidth="1"/>
    <col min="10512" max="10752" width="8.88671875" style="421"/>
    <col min="10753" max="10753" width="8.77734375" style="421" customWidth="1"/>
    <col min="10754" max="10754" width="7.77734375" style="421" customWidth="1"/>
    <col min="10755" max="10757" width="8.77734375" style="421" customWidth="1"/>
    <col min="10758" max="10758" width="10.77734375" style="421" customWidth="1"/>
    <col min="10759" max="10759" width="13.77734375" style="421" customWidth="1"/>
    <col min="10760" max="10760" width="9.77734375" style="421" customWidth="1"/>
    <col min="10761" max="10761" width="12.5546875" style="421" customWidth="1"/>
    <col min="10762" max="10762" width="8.88671875" style="421"/>
    <col min="10763" max="10763" width="11.77734375" style="421" customWidth="1"/>
    <col min="10764" max="10764" width="11" style="421" customWidth="1"/>
    <col min="10765" max="10766" width="8.88671875" style="421"/>
    <col min="10767" max="10767" width="13.88671875" style="421" bestFit="1" customWidth="1"/>
    <col min="10768" max="11008" width="8.88671875" style="421"/>
    <col min="11009" max="11009" width="8.77734375" style="421" customWidth="1"/>
    <col min="11010" max="11010" width="7.77734375" style="421" customWidth="1"/>
    <col min="11011" max="11013" width="8.77734375" style="421" customWidth="1"/>
    <col min="11014" max="11014" width="10.77734375" style="421" customWidth="1"/>
    <col min="11015" max="11015" width="13.77734375" style="421" customWidth="1"/>
    <col min="11016" max="11016" width="9.77734375" style="421" customWidth="1"/>
    <col min="11017" max="11017" width="12.5546875" style="421" customWidth="1"/>
    <col min="11018" max="11018" width="8.88671875" style="421"/>
    <col min="11019" max="11019" width="11.77734375" style="421" customWidth="1"/>
    <col min="11020" max="11020" width="11" style="421" customWidth="1"/>
    <col min="11021" max="11022" width="8.88671875" style="421"/>
    <col min="11023" max="11023" width="13.88671875" style="421" bestFit="1" customWidth="1"/>
    <col min="11024" max="11264" width="8.88671875" style="421"/>
    <col min="11265" max="11265" width="8.77734375" style="421" customWidth="1"/>
    <col min="11266" max="11266" width="7.77734375" style="421" customWidth="1"/>
    <col min="11267" max="11269" width="8.77734375" style="421" customWidth="1"/>
    <col min="11270" max="11270" width="10.77734375" style="421" customWidth="1"/>
    <col min="11271" max="11271" width="13.77734375" style="421" customWidth="1"/>
    <col min="11272" max="11272" width="9.77734375" style="421" customWidth="1"/>
    <col min="11273" max="11273" width="12.5546875" style="421" customWidth="1"/>
    <col min="11274" max="11274" width="8.88671875" style="421"/>
    <col min="11275" max="11275" width="11.77734375" style="421" customWidth="1"/>
    <col min="11276" max="11276" width="11" style="421" customWidth="1"/>
    <col min="11277" max="11278" width="8.88671875" style="421"/>
    <col min="11279" max="11279" width="13.88671875" style="421" bestFit="1" customWidth="1"/>
    <col min="11280" max="11520" width="8.88671875" style="421"/>
    <col min="11521" max="11521" width="8.77734375" style="421" customWidth="1"/>
    <col min="11522" max="11522" width="7.77734375" style="421" customWidth="1"/>
    <col min="11523" max="11525" width="8.77734375" style="421" customWidth="1"/>
    <col min="11526" max="11526" width="10.77734375" style="421" customWidth="1"/>
    <col min="11527" max="11527" width="13.77734375" style="421" customWidth="1"/>
    <col min="11528" max="11528" width="9.77734375" style="421" customWidth="1"/>
    <col min="11529" max="11529" width="12.5546875" style="421" customWidth="1"/>
    <col min="11530" max="11530" width="8.88671875" style="421"/>
    <col min="11531" max="11531" width="11.77734375" style="421" customWidth="1"/>
    <col min="11532" max="11532" width="11" style="421" customWidth="1"/>
    <col min="11533" max="11534" width="8.88671875" style="421"/>
    <col min="11535" max="11535" width="13.88671875" style="421" bestFit="1" customWidth="1"/>
    <col min="11536" max="11776" width="8.88671875" style="421"/>
    <col min="11777" max="11777" width="8.77734375" style="421" customWidth="1"/>
    <col min="11778" max="11778" width="7.77734375" style="421" customWidth="1"/>
    <col min="11779" max="11781" width="8.77734375" style="421" customWidth="1"/>
    <col min="11782" max="11782" width="10.77734375" style="421" customWidth="1"/>
    <col min="11783" max="11783" width="13.77734375" style="421" customWidth="1"/>
    <col min="11784" max="11784" width="9.77734375" style="421" customWidth="1"/>
    <col min="11785" max="11785" width="12.5546875" style="421" customWidth="1"/>
    <col min="11786" max="11786" width="8.88671875" style="421"/>
    <col min="11787" max="11787" width="11.77734375" style="421" customWidth="1"/>
    <col min="11788" max="11788" width="11" style="421" customWidth="1"/>
    <col min="11789" max="11790" width="8.88671875" style="421"/>
    <col min="11791" max="11791" width="13.88671875" style="421" bestFit="1" customWidth="1"/>
    <col min="11792" max="12032" width="8.88671875" style="421"/>
    <col min="12033" max="12033" width="8.77734375" style="421" customWidth="1"/>
    <col min="12034" max="12034" width="7.77734375" style="421" customWidth="1"/>
    <col min="12035" max="12037" width="8.77734375" style="421" customWidth="1"/>
    <col min="12038" max="12038" width="10.77734375" style="421" customWidth="1"/>
    <col min="12039" max="12039" width="13.77734375" style="421" customWidth="1"/>
    <col min="12040" max="12040" width="9.77734375" style="421" customWidth="1"/>
    <col min="12041" max="12041" width="12.5546875" style="421" customWidth="1"/>
    <col min="12042" max="12042" width="8.88671875" style="421"/>
    <col min="12043" max="12043" width="11.77734375" style="421" customWidth="1"/>
    <col min="12044" max="12044" width="11" style="421" customWidth="1"/>
    <col min="12045" max="12046" width="8.88671875" style="421"/>
    <col min="12047" max="12047" width="13.88671875" style="421" bestFit="1" customWidth="1"/>
    <col min="12048" max="12288" width="8.88671875" style="421"/>
    <col min="12289" max="12289" width="8.77734375" style="421" customWidth="1"/>
    <col min="12290" max="12290" width="7.77734375" style="421" customWidth="1"/>
    <col min="12291" max="12293" width="8.77734375" style="421" customWidth="1"/>
    <col min="12294" max="12294" width="10.77734375" style="421" customWidth="1"/>
    <col min="12295" max="12295" width="13.77734375" style="421" customWidth="1"/>
    <col min="12296" max="12296" width="9.77734375" style="421" customWidth="1"/>
    <col min="12297" max="12297" width="12.5546875" style="421" customWidth="1"/>
    <col min="12298" max="12298" width="8.88671875" style="421"/>
    <col min="12299" max="12299" width="11.77734375" style="421" customWidth="1"/>
    <col min="12300" max="12300" width="11" style="421" customWidth="1"/>
    <col min="12301" max="12302" width="8.88671875" style="421"/>
    <col min="12303" max="12303" width="13.88671875" style="421" bestFit="1" customWidth="1"/>
    <col min="12304" max="12544" width="8.88671875" style="421"/>
    <col min="12545" max="12545" width="8.77734375" style="421" customWidth="1"/>
    <col min="12546" max="12546" width="7.77734375" style="421" customWidth="1"/>
    <col min="12547" max="12549" width="8.77734375" style="421" customWidth="1"/>
    <col min="12550" max="12550" width="10.77734375" style="421" customWidth="1"/>
    <col min="12551" max="12551" width="13.77734375" style="421" customWidth="1"/>
    <col min="12552" max="12552" width="9.77734375" style="421" customWidth="1"/>
    <col min="12553" max="12553" width="12.5546875" style="421" customWidth="1"/>
    <col min="12554" max="12554" width="8.88671875" style="421"/>
    <col min="12555" max="12555" width="11.77734375" style="421" customWidth="1"/>
    <col min="12556" max="12556" width="11" style="421" customWidth="1"/>
    <col min="12557" max="12558" width="8.88671875" style="421"/>
    <col min="12559" max="12559" width="13.88671875" style="421" bestFit="1" customWidth="1"/>
    <col min="12560" max="12800" width="8.88671875" style="421"/>
    <col min="12801" max="12801" width="8.77734375" style="421" customWidth="1"/>
    <col min="12802" max="12802" width="7.77734375" style="421" customWidth="1"/>
    <col min="12803" max="12805" width="8.77734375" style="421" customWidth="1"/>
    <col min="12806" max="12806" width="10.77734375" style="421" customWidth="1"/>
    <col min="12807" max="12807" width="13.77734375" style="421" customWidth="1"/>
    <col min="12808" max="12808" width="9.77734375" style="421" customWidth="1"/>
    <col min="12809" max="12809" width="12.5546875" style="421" customWidth="1"/>
    <col min="12810" max="12810" width="8.88671875" style="421"/>
    <col min="12811" max="12811" width="11.77734375" style="421" customWidth="1"/>
    <col min="12812" max="12812" width="11" style="421" customWidth="1"/>
    <col min="12813" max="12814" width="8.88671875" style="421"/>
    <col min="12815" max="12815" width="13.88671875" style="421" bestFit="1" customWidth="1"/>
    <col min="12816" max="13056" width="8.88671875" style="421"/>
    <col min="13057" max="13057" width="8.77734375" style="421" customWidth="1"/>
    <col min="13058" max="13058" width="7.77734375" style="421" customWidth="1"/>
    <col min="13059" max="13061" width="8.77734375" style="421" customWidth="1"/>
    <col min="13062" max="13062" width="10.77734375" style="421" customWidth="1"/>
    <col min="13063" max="13063" width="13.77734375" style="421" customWidth="1"/>
    <col min="13064" max="13064" width="9.77734375" style="421" customWidth="1"/>
    <col min="13065" max="13065" width="12.5546875" style="421" customWidth="1"/>
    <col min="13066" max="13066" width="8.88671875" style="421"/>
    <col min="13067" max="13067" width="11.77734375" style="421" customWidth="1"/>
    <col min="13068" max="13068" width="11" style="421" customWidth="1"/>
    <col min="13069" max="13070" width="8.88671875" style="421"/>
    <col min="13071" max="13071" width="13.88671875" style="421" bestFit="1" customWidth="1"/>
    <col min="13072" max="13312" width="8.88671875" style="421"/>
    <col min="13313" max="13313" width="8.77734375" style="421" customWidth="1"/>
    <col min="13314" max="13314" width="7.77734375" style="421" customWidth="1"/>
    <col min="13315" max="13317" width="8.77734375" style="421" customWidth="1"/>
    <col min="13318" max="13318" width="10.77734375" style="421" customWidth="1"/>
    <col min="13319" max="13319" width="13.77734375" style="421" customWidth="1"/>
    <col min="13320" max="13320" width="9.77734375" style="421" customWidth="1"/>
    <col min="13321" max="13321" width="12.5546875" style="421" customWidth="1"/>
    <col min="13322" max="13322" width="8.88671875" style="421"/>
    <col min="13323" max="13323" width="11.77734375" style="421" customWidth="1"/>
    <col min="13324" max="13324" width="11" style="421" customWidth="1"/>
    <col min="13325" max="13326" width="8.88671875" style="421"/>
    <col min="13327" max="13327" width="13.88671875" style="421" bestFit="1" customWidth="1"/>
    <col min="13328" max="13568" width="8.88671875" style="421"/>
    <col min="13569" max="13569" width="8.77734375" style="421" customWidth="1"/>
    <col min="13570" max="13570" width="7.77734375" style="421" customWidth="1"/>
    <col min="13571" max="13573" width="8.77734375" style="421" customWidth="1"/>
    <col min="13574" max="13574" width="10.77734375" style="421" customWidth="1"/>
    <col min="13575" max="13575" width="13.77734375" style="421" customWidth="1"/>
    <col min="13576" max="13576" width="9.77734375" style="421" customWidth="1"/>
    <col min="13577" max="13577" width="12.5546875" style="421" customWidth="1"/>
    <col min="13578" max="13578" width="8.88671875" style="421"/>
    <col min="13579" max="13579" width="11.77734375" style="421" customWidth="1"/>
    <col min="13580" max="13580" width="11" style="421" customWidth="1"/>
    <col min="13581" max="13582" width="8.88671875" style="421"/>
    <col min="13583" max="13583" width="13.88671875" style="421" bestFit="1" customWidth="1"/>
    <col min="13584" max="13824" width="8.88671875" style="421"/>
    <col min="13825" max="13825" width="8.77734375" style="421" customWidth="1"/>
    <col min="13826" max="13826" width="7.77734375" style="421" customWidth="1"/>
    <col min="13827" max="13829" width="8.77734375" style="421" customWidth="1"/>
    <col min="13830" max="13830" width="10.77734375" style="421" customWidth="1"/>
    <col min="13831" max="13831" width="13.77734375" style="421" customWidth="1"/>
    <col min="13832" max="13832" width="9.77734375" style="421" customWidth="1"/>
    <col min="13833" max="13833" width="12.5546875" style="421" customWidth="1"/>
    <col min="13834" max="13834" width="8.88671875" style="421"/>
    <col min="13835" max="13835" width="11.77734375" style="421" customWidth="1"/>
    <col min="13836" max="13836" width="11" style="421" customWidth="1"/>
    <col min="13837" max="13838" width="8.88671875" style="421"/>
    <col min="13839" max="13839" width="13.88671875" style="421" bestFit="1" customWidth="1"/>
    <col min="13840" max="14080" width="8.88671875" style="421"/>
    <col min="14081" max="14081" width="8.77734375" style="421" customWidth="1"/>
    <col min="14082" max="14082" width="7.77734375" style="421" customWidth="1"/>
    <col min="14083" max="14085" width="8.77734375" style="421" customWidth="1"/>
    <col min="14086" max="14086" width="10.77734375" style="421" customWidth="1"/>
    <col min="14087" max="14087" width="13.77734375" style="421" customWidth="1"/>
    <col min="14088" max="14088" width="9.77734375" style="421" customWidth="1"/>
    <col min="14089" max="14089" width="12.5546875" style="421" customWidth="1"/>
    <col min="14090" max="14090" width="8.88671875" style="421"/>
    <col min="14091" max="14091" width="11.77734375" style="421" customWidth="1"/>
    <col min="14092" max="14092" width="11" style="421" customWidth="1"/>
    <col min="14093" max="14094" width="8.88671875" style="421"/>
    <col min="14095" max="14095" width="13.88671875" style="421" bestFit="1" customWidth="1"/>
    <col min="14096" max="14336" width="8.88671875" style="421"/>
    <col min="14337" max="14337" width="8.77734375" style="421" customWidth="1"/>
    <col min="14338" max="14338" width="7.77734375" style="421" customWidth="1"/>
    <col min="14339" max="14341" width="8.77734375" style="421" customWidth="1"/>
    <col min="14342" max="14342" width="10.77734375" style="421" customWidth="1"/>
    <col min="14343" max="14343" width="13.77734375" style="421" customWidth="1"/>
    <col min="14344" max="14344" width="9.77734375" style="421" customWidth="1"/>
    <col min="14345" max="14345" width="12.5546875" style="421" customWidth="1"/>
    <col min="14346" max="14346" width="8.88671875" style="421"/>
    <col min="14347" max="14347" width="11.77734375" style="421" customWidth="1"/>
    <col min="14348" max="14348" width="11" style="421" customWidth="1"/>
    <col min="14349" max="14350" width="8.88671875" style="421"/>
    <col min="14351" max="14351" width="13.88671875" style="421" bestFit="1" customWidth="1"/>
    <col min="14352" max="14592" width="8.88671875" style="421"/>
    <col min="14593" max="14593" width="8.77734375" style="421" customWidth="1"/>
    <col min="14594" max="14594" width="7.77734375" style="421" customWidth="1"/>
    <col min="14595" max="14597" width="8.77734375" style="421" customWidth="1"/>
    <col min="14598" max="14598" width="10.77734375" style="421" customWidth="1"/>
    <col min="14599" max="14599" width="13.77734375" style="421" customWidth="1"/>
    <col min="14600" max="14600" width="9.77734375" style="421" customWidth="1"/>
    <col min="14601" max="14601" width="12.5546875" style="421" customWidth="1"/>
    <col min="14602" max="14602" width="8.88671875" style="421"/>
    <col min="14603" max="14603" width="11.77734375" style="421" customWidth="1"/>
    <col min="14604" max="14604" width="11" style="421" customWidth="1"/>
    <col min="14605" max="14606" width="8.88671875" style="421"/>
    <col min="14607" max="14607" width="13.88671875" style="421" bestFit="1" customWidth="1"/>
    <col min="14608" max="14848" width="8.88671875" style="421"/>
    <col min="14849" max="14849" width="8.77734375" style="421" customWidth="1"/>
    <col min="14850" max="14850" width="7.77734375" style="421" customWidth="1"/>
    <col min="14851" max="14853" width="8.77734375" style="421" customWidth="1"/>
    <col min="14854" max="14854" width="10.77734375" style="421" customWidth="1"/>
    <col min="14855" max="14855" width="13.77734375" style="421" customWidth="1"/>
    <col min="14856" max="14856" width="9.77734375" style="421" customWidth="1"/>
    <col min="14857" max="14857" width="12.5546875" style="421" customWidth="1"/>
    <col min="14858" max="14858" width="8.88671875" style="421"/>
    <col min="14859" max="14859" width="11.77734375" style="421" customWidth="1"/>
    <col min="14860" max="14860" width="11" style="421" customWidth="1"/>
    <col min="14861" max="14862" width="8.88671875" style="421"/>
    <col min="14863" max="14863" width="13.88671875" style="421" bestFit="1" customWidth="1"/>
    <col min="14864" max="15104" width="8.88671875" style="421"/>
    <col min="15105" max="15105" width="8.77734375" style="421" customWidth="1"/>
    <col min="15106" max="15106" width="7.77734375" style="421" customWidth="1"/>
    <col min="15107" max="15109" width="8.77734375" style="421" customWidth="1"/>
    <col min="15110" max="15110" width="10.77734375" style="421" customWidth="1"/>
    <col min="15111" max="15111" width="13.77734375" style="421" customWidth="1"/>
    <col min="15112" max="15112" width="9.77734375" style="421" customWidth="1"/>
    <col min="15113" max="15113" width="12.5546875" style="421" customWidth="1"/>
    <col min="15114" max="15114" width="8.88671875" style="421"/>
    <col min="15115" max="15115" width="11.77734375" style="421" customWidth="1"/>
    <col min="15116" max="15116" width="11" style="421" customWidth="1"/>
    <col min="15117" max="15118" width="8.88671875" style="421"/>
    <col min="15119" max="15119" width="13.88671875" style="421" bestFit="1" customWidth="1"/>
    <col min="15120" max="15360" width="8.88671875" style="421"/>
    <col min="15361" max="15361" width="8.77734375" style="421" customWidth="1"/>
    <col min="15362" max="15362" width="7.77734375" style="421" customWidth="1"/>
    <col min="15363" max="15365" width="8.77734375" style="421" customWidth="1"/>
    <col min="15366" max="15366" width="10.77734375" style="421" customWidth="1"/>
    <col min="15367" max="15367" width="13.77734375" style="421" customWidth="1"/>
    <col min="15368" max="15368" width="9.77734375" style="421" customWidth="1"/>
    <col min="15369" max="15369" width="12.5546875" style="421" customWidth="1"/>
    <col min="15370" max="15370" width="8.88671875" style="421"/>
    <col min="15371" max="15371" width="11.77734375" style="421" customWidth="1"/>
    <col min="15372" max="15372" width="11" style="421" customWidth="1"/>
    <col min="15373" max="15374" width="8.88671875" style="421"/>
    <col min="15375" max="15375" width="13.88671875" style="421" bestFit="1" customWidth="1"/>
    <col min="15376" max="15616" width="8.88671875" style="421"/>
    <col min="15617" max="15617" width="8.77734375" style="421" customWidth="1"/>
    <col min="15618" max="15618" width="7.77734375" style="421" customWidth="1"/>
    <col min="15619" max="15621" width="8.77734375" style="421" customWidth="1"/>
    <col min="15622" max="15622" width="10.77734375" style="421" customWidth="1"/>
    <col min="15623" max="15623" width="13.77734375" style="421" customWidth="1"/>
    <col min="15624" max="15624" width="9.77734375" style="421" customWidth="1"/>
    <col min="15625" max="15625" width="12.5546875" style="421" customWidth="1"/>
    <col min="15626" max="15626" width="8.88671875" style="421"/>
    <col min="15627" max="15627" width="11.77734375" style="421" customWidth="1"/>
    <col min="15628" max="15628" width="11" style="421" customWidth="1"/>
    <col min="15629" max="15630" width="8.88671875" style="421"/>
    <col min="15631" max="15631" width="13.88671875" style="421" bestFit="1" customWidth="1"/>
    <col min="15632" max="15872" width="8.88671875" style="421"/>
    <col min="15873" max="15873" width="8.77734375" style="421" customWidth="1"/>
    <col min="15874" max="15874" width="7.77734375" style="421" customWidth="1"/>
    <col min="15875" max="15877" width="8.77734375" style="421" customWidth="1"/>
    <col min="15878" max="15878" width="10.77734375" style="421" customWidth="1"/>
    <col min="15879" max="15879" width="13.77734375" style="421" customWidth="1"/>
    <col min="15880" max="15880" width="9.77734375" style="421" customWidth="1"/>
    <col min="15881" max="15881" width="12.5546875" style="421" customWidth="1"/>
    <col min="15882" max="15882" width="8.88671875" style="421"/>
    <col min="15883" max="15883" width="11.77734375" style="421" customWidth="1"/>
    <col min="15884" max="15884" width="11" style="421" customWidth="1"/>
    <col min="15885" max="15886" width="8.88671875" style="421"/>
    <col min="15887" max="15887" width="13.88671875" style="421" bestFit="1" customWidth="1"/>
    <col min="15888" max="16128" width="8.88671875" style="421"/>
    <col min="16129" max="16129" width="8.77734375" style="421" customWidth="1"/>
    <col min="16130" max="16130" width="7.77734375" style="421" customWidth="1"/>
    <col min="16131" max="16133" width="8.77734375" style="421" customWidth="1"/>
    <col min="16134" max="16134" width="10.77734375" style="421" customWidth="1"/>
    <col min="16135" max="16135" width="13.77734375" style="421" customWidth="1"/>
    <col min="16136" max="16136" width="9.77734375" style="421" customWidth="1"/>
    <col min="16137" max="16137" width="12.5546875" style="421" customWidth="1"/>
    <col min="16138" max="16138" width="8.88671875" style="421"/>
    <col min="16139" max="16139" width="11.77734375" style="421" customWidth="1"/>
    <col min="16140" max="16140" width="11" style="421" customWidth="1"/>
    <col min="16141" max="16142" width="8.88671875" style="421"/>
    <col min="16143" max="16143" width="13.88671875" style="421" bestFit="1" customWidth="1"/>
    <col min="16144" max="16384" width="8.88671875" style="421"/>
  </cols>
  <sheetData>
    <row r="1" spans="1:16" ht="35.1" customHeight="1">
      <c r="A1" s="811" t="s">
        <v>497</v>
      </c>
      <c r="B1" s="811"/>
      <c r="C1" s="811"/>
      <c r="D1" s="811"/>
      <c r="E1" s="811"/>
      <c r="F1" s="811"/>
      <c r="G1" s="811"/>
      <c r="H1" s="811"/>
      <c r="O1" s="422" t="s">
        <v>498</v>
      </c>
    </row>
    <row r="2" spans="1:16" ht="15" customHeight="1" thickBot="1">
      <c r="O2" s="422"/>
    </row>
    <row r="3" spans="1:16" ht="40.5" customHeight="1" thickBot="1">
      <c r="A3" s="812" t="s">
        <v>499</v>
      </c>
      <c r="B3" s="813"/>
      <c r="C3" s="814" t="s">
        <v>736</v>
      </c>
      <c r="D3" s="814"/>
      <c r="E3" s="814"/>
      <c r="F3" s="814"/>
      <c r="G3" s="814"/>
      <c r="H3" s="815"/>
      <c r="O3" s="422"/>
    </row>
    <row r="4" spans="1:16" ht="8.25" customHeight="1" thickBot="1">
      <c r="B4" s="425"/>
      <c r="C4" s="425"/>
      <c r="D4" s="425"/>
      <c r="E4" s="425"/>
      <c r="F4" s="425"/>
      <c r="G4" s="425"/>
      <c r="H4" s="425"/>
      <c r="O4" s="422"/>
    </row>
    <row r="5" spans="1:16" ht="27.95" customHeight="1">
      <c r="A5" s="816" t="s">
        <v>500</v>
      </c>
      <c r="B5" s="817"/>
      <c r="C5" s="819" t="s">
        <v>501</v>
      </c>
      <c r="D5" s="820"/>
      <c r="E5" s="820"/>
      <c r="F5" s="820"/>
      <c r="G5" s="820"/>
      <c r="H5" s="821"/>
      <c r="O5" s="422"/>
    </row>
    <row r="6" spans="1:16" ht="27.95" customHeight="1">
      <c r="A6" s="800"/>
      <c r="B6" s="818"/>
      <c r="C6" s="426" t="s">
        <v>502</v>
      </c>
      <c r="D6" s="822">
        <v>68704.456000000006</v>
      </c>
      <c r="E6" s="822"/>
      <c r="F6" s="427"/>
      <c r="G6" s="428"/>
      <c r="H6" s="429"/>
      <c r="J6" s="430" t="s">
        <v>683</v>
      </c>
      <c r="K6" s="430"/>
      <c r="L6" s="430"/>
      <c r="O6" s="422"/>
    </row>
    <row r="7" spans="1:16" ht="21" customHeight="1">
      <c r="A7" s="798" t="s">
        <v>503</v>
      </c>
      <c r="B7" s="799"/>
      <c r="C7" s="431" t="s">
        <v>504</v>
      </c>
      <c r="D7" s="431"/>
      <c r="E7" s="431"/>
      <c r="F7" s="522"/>
      <c r="G7" s="522"/>
      <c r="H7" s="432"/>
      <c r="J7" s="430" t="s">
        <v>505</v>
      </c>
      <c r="L7" s="430"/>
      <c r="O7" s="422"/>
    </row>
    <row r="8" spans="1:16" ht="21" customHeight="1">
      <c r="A8" s="800"/>
      <c r="B8" s="801"/>
      <c r="C8" s="431"/>
      <c r="D8" s="431"/>
      <c r="E8" s="431"/>
      <c r="F8" s="522"/>
      <c r="G8" s="522"/>
      <c r="H8" s="432"/>
      <c r="J8" s="430" t="s">
        <v>506</v>
      </c>
      <c r="O8" s="422" t="s">
        <v>507</v>
      </c>
    </row>
    <row r="9" spans="1:16" ht="21" customHeight="1">
      <c r="A9" s="802"/>
      <c r="B9" s="803"/>
      <c r="C9" s="433" t="s">
        <v>508</v>
      </c>
      <c r="D9" s="433"/>
      <c r="E9" s="433"/>
      <c r="F9" s="428"/>
      <c r="G9" s="428"/>
      <c r="H9" s="429"/>
      <c r="J9" s="430"/>
      <c r="O9" s="422"/>
    </row>
    <row r="10" spans="1:16" ht="23.25" customHeight="1" thickBot="1">
      <c r="A10" s="804" t="s">
        <v>509</v>
      </c>
      <c r="B10" s="805"/>
      <c r="C10" s="806" t="s">
        <v>510</v>
      </c>
      <c r="D10" s="806"/>
      <c r="E10" s="806"/>
      <c r="F10" s="806"/>
      <c r="G10" s="434" t="s">
        <v>511</v>
      </c>
      <c r="H10" s="435" t="s">
        <v>512</v>
      </c>
      <c r="O10" s="422"/>
    </row>
    <row r="11" spans="1:16" ht="23.25" customHeight="1" thickTop="1">
      <c r="A11" s="436" t="s">
        <v>513</v>
      </c>
      <c r="B11" s="437"/>
      <c r="C11" s="438" t="s">
        <v>514</v>
      </c>
      <c r="D11" s="431"/>
      <c r="E11" s="431"/>
      <c r="F11" s="439"/>
      <c r="G11" s="206">
        <f>SUM(G12:G14)</f>
        <v>158610430</v>
      </c>
      <c r="H11" s="807" t="s">
        <v>515</v>
      </c>
      <c r="K11" s="440"/>
      <c r="L11" s="441" t="s">
        <v>516</v>
      </c>
      <c r="M11" s="441" t="s">
        <v>517</v>
      </c>
      <c r="N11" s="442" t="s">
        <v>518</v>
      </c>
      <c r="O11" s="443"/>
    </row>
    <row r="12" spans="1:16" ht="23.25" customHeight="1">
      <c r="A12" s="808" t="s">
        <v>519</v>
      </c>
      <c r="B12" s="444" t="s">
        <v>520</v>
      </c>
      <c r="C12" s="207">
        <v>1</v>
      </c>
      <c r="D12" s="445">
        <v>23.5</v>
      </c>
      <c r="E12" s="208">
        <v>1</v>
      </c>
      <c r="F12" s="209">
        <f>L19*22</f>
        <v>6135800</v>
      </c>
      <c r="G12" s="210">
        <f>INT(C12*D12*E12*F12)</f>
        <v>144191300</v>
      </c>
      <c r="H12" s="792"/>
      <c r="I12" s="424" t="s">
        <v>473</v>
      </c>
      <c r="K12" s="446" t="s">
        <v>474</v>
      </c>
      <c r="L12" s="422" t="s">
        <v>445</v>
      </c>
      <c r="M12" s="422" t="s">
        <v>431</v>
      </c>
      <c r="N12" s="447" t="s">
        <v>475</v>
      </c>
      <c r="O12" s="443" t="s">
        <v>432</v>
      </c>
      <c r="P12" s="422" t="s">
        <v>476</v>
      </c>
    </row>
    <row r="13" spans="1:16" ht="23.25" customHeight="1" thickBot="1">
      <c r="A13" s="808"/>
      <c r="B13" s="448" t="s">
        <v>477</v>
      </c>
      <c r="C13" s="212"/>
      <c r="D13" s="449"/>
      <c r="E13" s="208"/>
      <c r="F13" s="209"/>
      <c r="G13" s="213">
        <f>INT(C13*D13*E13*F13)</f>
        <v>0</v>
      </c>
      <c r="H13" s="792"/>
      <c r="I13" s="424" t="s">
        <v>446</v>
      </c>
      <c r="K13" s="450" t="s">
        <v>447</v>
      </c>
      <c r="L13" s="451" t="s">
        <v>478</v>
      </c>
      <c r="M13" s="451" t="s">
        <v>478</v>
      </c>
      <c r="N13" s="452" t="s">
        <v>478</v>
      </c>
      <c r="O13" s="443"/>
    </row>
    <row r="14" spans="1:16" ht="23.25" customHeight="1">
      <c r="A14" s="453" t="s">
        <v>448</v>
      </c>
      <c r="B14" s="454" t="s">
        <v>295</v>
      </c>
      <c r="C14" s="809" t="s">
        <v>411</v>
      </c>
      <c r="D14" s="810"/>
      <c r="E14" s="810"/>
      <c r="F14" s="810"/>
      <c r="G14" s="358">
        <f>G12*10%</f>
        <v>14419130</v>
      </c>
      <c r="H14" s="792"/>
      <c r="O14" s="422" t="s">
        <v>479</v>
      </c>
    </row>
    <row r="15" spans="1:16" ht="23.25" customHeight="1">
      <c r="A15" s="455" t="s">
        <v>296</v>
      </c>
      <c r="B15" s="456"/>
      <c r="C15" s="218" t="s">
        <v>297</v>
      </c>
      <c r="D15" s="218"/>
      <c r="E15" s="218"/>
      <c r="F15" s="219"/>
      <c r="G15" s="220">
        <f>G16</f>
        <v>174471473</v>
      </c>
      <c r="H15" s="790" t="s">
        <v>298</v>
      </c>
      <c r="O15" s="422" t="s">
        <v>433</v>
      </c>
    </row>
    <row r="16" spans="1:16" ht="23.25" customHeight="1">
      <c r="A16" s="457"/>
      <c r="B16" s="478"/>
      <c r="C16" s="733">
        <f>G11</f>
        <v>158610430</v>
      </c>
      <c r="D16" s="733"/>
      <c r="E16" s="223"/>
      <c r="F16" s="224">
        <v>1.1000000000000001</v>
      </c>
      <c r="G16" s="225">
        <f>INT(C16*F16)</f>
        <v>174471473</v>
      </c>
      <c r="H16" s="791"/>
      <c r="O16" s="422"/>
    </row>
    <row r="17" spans="1:15" ht="23.25" customHeight="1" thickBot="1">
      <c r="A17" s="458" t="s">
        <v>299</v>
      </c>
      <c r="B17" s="477"/>
      <c r="C17" s="227" t="s">
        <v>300</v>
      </c>
      <c r="D17" s="227"/>
      <c r="E17" s="227"/>
      <c r="F17" s="228"/>
      <c r="G17" s="206">
        <f>G18</f>
        <v>66616380</v>
      </c>
      <c r="H17" s="792" t="s">
        <v>301</v>
      </c>
      <c r="K17" s="424" t="s">
        <v>456</v>
      </c>
      <c r="L17" s="424" t="s">
        <v>521</v>
      </c>
      <c r="O17" s="422" t="s">
        <v>449</v>
      </c>
    </row>
    <row r="18" spans="1:15" ht="23.25" customHeight="1">
      <c r="A18" s="459"/>
      <c r="B18" s="477"/>
      <c r="C18" s="715">
        <f>(G11+G15)</f>
        <v>333081903</v>
      </c>
      <c r="D18" s="715"/>
      <c r="E18" s="230"/>
      <c r="F18" s="228">
        <v>0.2</v>
      </c>
      <c r="G18" s="231">
        <f>INT(C18*F18)</f>
        <v>66616380</v>
      </c>
      <c r="H18" s="792"/>
      <c r="K18" s="479" t="s">
        <v>396</v>
      </c>
      <c r="L18" s="480" t="s">
        <v>418</v>
      </c>
      <c r="O18" s="422"/>
    </row>
    <row r="19" spans="1:15" ht="23.25" customHeight="1">
      <c r="A19" s="481" t="s">
        <v>302</v>
      </c>
      <c r="B19" s="460"/>
      <c r="C19" s="233" t="s">
        <v>303</v>
      </c>
      <c r="D19" s="234"/>
      <c r="E19" s="234"/>
      <c r="F19" s="235"/>
      <c r="G19" s="338">
        <f>INT(SUM(G20:G26))</f>
        <v>45699303</v>
      </c>
      <c r="H19" s="793" t="s">
        <v>304</v>
      </c>
      <c r="K19" s="482" t="s">
        <v>419</v>
      </c>
      <c r="L19" s="483">
        <v>278900</v>
      </c>
      <c r="O19" s="422" t="s">
        <v>450</v>
      </c>
    </row>
    <row r="20" spans="1:15" ht="23.25" customHeight="1">
      <c r="A20" s="459" t="s">
        <v>305</v>
      </c>
      <c r="B20" s="439"/>
      <c r="C20" s="339" t="s">
        <v>306</v>
      </c>
      <c r="D20" s="227"/>
      <c r="E20" s="227"/>
      <c r="F20" s="228"/>
      <c r="G20" s="340"/>
      <c r="H20" s="794"/>
      <c r="K20" s="484" t="s">
        <v>420</v>
      </c>
      <c r="L20" s="485">
        <v>240454</v>
      </c>
      <c r="O20" s="422"/>
    </row>
    <row r="21" spans="1:15" ht="23.25" customHeight="1">
      <c r="A21" s="459"/>
      <c r="B21" s="439"/>
      <c r="C21" s="729">
        <f>SUM(G12:G13)</f>
        <v>144191300</v>
      </c>
      <c r="D21" s="715"/>
      <c r="E21" s="228"/>
      <c r="F21" s="228">
        <v>0.3</v>
      </c>
      <c r="G21" s="340">
        <f>INT(C21*F21)</f>
        <v>43257390</v>
      </c>
      <c r="H21" s="794"/>
      <c r="K21" s="484" t="s">
        <v>421</v>
      </c>
      <c r="L21" s="485">
        <v>217583</v>
      </c>
      <c r="O21" s="422"/>
    </row>
    <row r="22" spans="1:15" ht="23.25" customHeight="1" thickBot="1">
      <c r="A22" s="459" t="s">
        <v>307</v>
      </c>
      <c r="B22" s="439"/>
      <c r="C22" s="341" t="s">
        <v>308</v>
      </c>
      <c r="D22" s="230"/>
      <c r="E22" s="230"/>
      <c r="F22" s="228"/>
      <c r="G22" s="340"/>
      <c r="H22" s="794"/>
      <c r="K22" s="486" t="s">
        <v>422</v>
      </c>
      <c r="L22" s="487">
        <v>200502</v>
      </c>
      <c r="O22" s="422"/>
    </row>
    <row r="23" spans="1:15" ht="23.25" customHeight="1">
      <c r="A23" s="459"/>
      <c r="B23" s="439"/>
      <c r="C23" s="729">
        <f>G14</f>
        <v>14419130</v>
      </c>
      <c r="D23" s="715"/>
      <c r="E23" s="228"/>
      <c r="F23" s="228">
        <v>0.1</v>
      </c>
      <c r="G23" s="340">
        <f>INT(C23*F23)</f>
        <v>1441913</v>
      </c>
      <c r="H23" s="794"/>
      <c r="O23" s="422"/>
    </row>
    <row r="24" spans="1:15" ht="23.25" customHeight="1">
      <c r="A24" s="459" t="s">
        <v>309</v>
      </c>
      <c r="B24" s="439"/>
      <c r="C24" s="339"/>
      <c r="D24" s="227"/>
      <c r="E24" s="227"/>
      <c r="F24" s="228"/>
      <c r="G24" s="340">
        <v>1000000</v>
      </c>
      <c r="H24" s="794"/>
      <c r="O24" s="422"/>
    </row>
    <row r="25" spans="1:15" ht="23.25" customHeight="1">
      <c r="A25" s="459" t="s">
        <v>311</v>
      </c>
      <c r="B25" s="439"/>
      <c r="C25" s="339" t="s">
        <v>310</v>
      </c>
      <c r="D25" s="227"/>
      <c r="E25" s="227"/>
      <c r="F25" s="228"/>
      <c r="G25" s="340">
        <v>0</v>
      </c>
      <c r="H25" s="794"/>
      <c r="K25" s="424"/>
      <c r="O25" s="422"/>
    </row>
    <row r="26" spans="1:15" ht="23.25" customHeight="1">
      <c r="A26" s="457" t="s">
        <v>480</v>
      </c>
      <c r="B26" s="461"/>
      <c r="C26" s="796" t="s">
        <v>481</v>
      </c>
      <c r="D26" s="797"/>
      <c r="E26" s="797"/>
      <c r="F26" s="797"/>
      <c r="G26" s="359">
        <v>0</v>
      </c>
      <c r="H26" s="795"/>
      <c r="I26" s="342" t="s">
        <v>482</v>
      </c>
      <c r="J26" s="343">
        <v>87805</v>
      </c>
      <c r="O26" s="462" t="s">
        <v>483</v>
      </c>
    </row>
    <row r="27" spans="1:15" ht="23.25" customHeight="1">
      <c r="A27" s="458" t="s">
        <v>312</v>
      </c>
      <c r="B27" s="477"/>
      <c r="C27" s="227" t="s">
        <v>313</v>
      </c>
      <c r="D27" s="227"/>
      <c r="E27" s="227"/>
      <c r="F27" s="518"/>
      <c r="G27" s="231">
        <f>ROUND(G11+G15+G17+G19,0)</f>
        <v>445397586</v>
      </c>
      <c r="H27" s="521"/>
      <c r="O27" s="422"/>
    </row>
    <row r="28" spans="1:15" ht="23.25" customHeight="1">
      <c r="A28" s="458" t="s">
        <v>451</v>
      </c>
      <c r="B28" s="477"/>
      <c r="C28" s="227" t="s">
        <v>484</v>
      </c>
      <c r="D28" s="227"/>
      <c r="E28" s="227"/>
      <c r="F28" s="518"/>
      <c r="G28" s="231">
        <f>-ROUND(G27*10%,0)</f>
        <v>-44539759</v>
      </c>
      <c r="H28" s="521" t="s">
        <v>485</v>
      </c>
      <c r="I28" s="424" t="s">
        <v>522</v>
      </c>
      <c r="J28" s="424"/>
      <c r="O28" s="422"/>
    </row>
    <row r="29" spans="1:15" ht="23.25" customHeight="1">
      <c r="A29" s="458" t="s">
        <v>452</v>
      </c>
      <c r="B29" s="477"/>
      <c r="C29" s="413" t="s">
        <v>440</v>
      </c>
      <c r="D29" s="227"/>
      <c r="E29" s="227"/>
      <c r="F29" s="518"/>
      <c r="G29" s="231">
        <f>+G27+G28</f>
        <v>400857827</v>
      </c>
      <c r="H29" s="521"/>
      <c r="I29" s="424" t="s">
        <v>523</v>
      </c>
      <c r="J29" s="424"/>
      <c r="O29" s="422"/>
    </row>
    <row r="30" spans="1:15" ht="23.25" customHeight="1">
      <c r="A30" s="488" t="s">
        <v>453</v>
      </c>
      <c r="B30" s="463"/>
      <c r="C30" s="344"/>
      <c r="D30" s="344"/>
      <c r="E30" s="344"/>
      <c r="F30" s="345"/>
      <c r="G30" s="346">
        <f>ROUND(G29*10%,0)</f>
        <v>40085783</v>
      </c>
      <c r="H30" s="489"/>
      <c r="O30" s="422"/>
    </row>
    <row r="31" spans="1:15" ht="23.25" customHeight="1" thickBot="1">
      <c r="A31" s="464" t="s">
        <v>441</v>
      </c>
      <c r="B31" s="465"/>
      <c r="C31" s="237"/>
      <c r="D31" s="237"/>
      <c r="E31" s="237"/>
      <c r="F31" s="238"/>
      <c r="G31" s="239">
        <f>SUM(G29:G30)</f>
        <v>440943610</v>
      </c>
      <c r="H31" s="466" t="s">
        <v>486</v>
      </c>
      <c r="J31" s="421">
        <v>150000</v>
      </c>
      <c r="O31" s="422"/>
    </row>
    <row r="32" spans="1:15" ht="23.25" customHeight="1" thickBot="1">
      <c r="A32" s="490" t="s">
        <v>524</v>
      </c>
      <c r="B32" s="491"/>
      <c r="C32" s="492"/>
      <c r="D32" s="492"/>
      <c r="E32" s="492"/>
      <c r="F32" s="493"/>
      <c r="G32" s="493"/>
      <c r="H32" s="494"/>
      <c r="J32" s="334">
        <f>G27/(D6*0.3025)</f>
        <v>21430.760095816593</v>
      </c>
      <c r="O32" s="422"/>
    </row>
    <row r="33" spans="7:17" ht="24.95" customHeight="1">
      <c r="J33" s="334">
        <f>G33/(D6*0.3025)</f>
        <v>0</v>
      </c>
      <c r="O33" s="422"/>
    </row>
    <row r="34" spans="7:17" ht="24.95" customHeight="1">
      <c r="O34" s="422"/>
    </row>
    <row r="35" spans="7:17" ht="24.95" customHeight="1"/>
    <row r="36" spans="7:17" ht="24.95" customHeight="1"/>
    <row r="37" spans="7:17" ht="23.25" customHeight="1">
      <c r="G37" s="495"/>
      <c r="H37" s="496"/>
      <c r="I37" s="520" t="s">
        <v>487</v>
      </c>
      <c r="J37" s="783" t="s">
        <v>525</v>
      </c>
      <c r="K37" s="783"/>
      <c r="L37" s="783"/>
      <c r="M37" s="784"/>
      <c r="N37" s="785"/>
      <c r="O37" s="785"/>
      <c r="P37" s="785"/>
      <c r="Q37" s="786"/>
    </row>
    <row r="38" spans="7:17" ht="23.25" customHeight="1">
      <c r="I38" s="520" t="s">
        <v>488</v>
      </c>
      <c r="J38" s="783" t="s">
        <v>525</v>
      </c>
      <c r="K38" s="783"/>
      <c r="L38" s="783"/>
      <c r="M38" s="787"/>
      <c r="N38" s="788"/>
      <c r="O38" s="788"/>
      <c r="P38" s="788"/>
      <c r="Q38" s="789"/>
    </row>
    <row r="39" spans="7:17" ht="23.25" customHeight="1">
      <c r="I39" s="520" t="s">
        <v>489</v>
      </c>
      <c r="J39" s="783" t="s">
        <v>526</v>
      </c>
      <c r="K39" s="783"/>
      <c r="L39" s="783"/>
      <c r="M39" s="787" t="s">
        <v>684</v>
      </c>
      <c r="N39" s="788"/>
      <c r="O39" s="788"/>
      <c r="P39" s="788"/>
      <c r="Q39" s="789"/>
    </row>
    <row r="40" spans="7:17" ht="23.25" customHeight="1"/>
  </sheetData>
  <mergeCells count="26">
    <mergeCell ref="A1:H1"/>
    <mergeCell ref="A3:B3"/>
    <mergeCell ref="C3:H3"/>
    <mergeCell ref="A5:B6"/>
    <mergeCell ref="C5:H5"/>
    <mergeCell ref="D6:E6"/>
    <mergeCell ref="A7:B9"/>
    <mergeCell ref="A10:B10"/>
    <mergeCell ref="C10:F10"/>
    <mergeCell ref="H11:H14"/>
    <mergeCell ref="A12:A13"/>
    <mergeCell ref="C14:F14"/>
    <mergeCell ref="H15:H16"/>
    <mergeCell ref="C16:D16"/>
    <mergeCell ref="H17:H18"/>
    <mergeCell ref="C18:D18"/>
    <mergeCell ref="H19:H26"/>
    <mergeCell ref="C21:D21"/>
    <mergeCell ref="C23:D23"/>
    <mergeCell ref="C26:F26"/>
    <mergeCell ref="J37:L37"/>
    <mergeCell ref="M37:Q37"/>
    <mergeCell ref="J38:L38"/>
    <mergeCell ref="M38:Q38"/>
    <mergeCell ref="J39:L39"/>
    <mergeCell ref="M39:Q39"/>
  </mergeCells>
  <phoneticPr fontId="3" type="noConversion"/>
  <pageMargins left="0.6692913385826772" right="0.59055118110236227" top="0.63" bottom="0.47244094488188981" header="0.51181102362204722" footer="0.39370078740157483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C000"/>
  </sheetPr>
  <dimension ref="A1:L51"/>
  <sheetViews>
    <sheetView view="pageBreakPreview" zoomScale="85" workbookViewId="0">
      <selection activeCell="Q17" sqref="Q17"/>
    </sheetView>
  </sheetViews>
  <sheetFormatPr defaultRowHeight="20.100000000000001" customHeight="1"/>
  <cols>
    <col min="1" max="1" width="7.88671875" style="48" customWidth="1"/>
    <col min="2" max="2" width="6.5546875" style="48" customWidth="1"/>
    <col min="3" max="3" width="10.33203125" style="48" bestFit="1" customWidth="1"/>
    <col min="4" max="4" width="14.33203125" style="48" customWidth="1"/>
    <col min="5" max="5" width="6" style="107" customWidth="1"/>
    <col min="6" max="7" width="14.6640625" style="48" customWidth="1"/>
    <col min="8" max="8" width="15.5546875" style="48" customWidth="1"/>
    <col min="9" max="9" width="12.21875" style="48" hidden="1" customWidth="1"/>
    <col min="10" max="10" width="13.109375" style="48" bestFit="1" customWidth="1"/>
    <col min="11" max="11" width="10" style="48" bestFit="1" customWidth="1"/>
    <col min="12" max="12" width="9.21875" style="48" bestFit="1" customWidth="1"/>
    <col min="13" max="256" width="8.88671875" style="48"/>
    <col min="257" max="257" width="7.88671875" style="48" customWidth="1"/>
    <col min="258" max="258" width="6.5546875" style="48" customWidth="1"/>
    <col min="259" max="259" width="10.33203125" style="48" bestFit="1" customWidth="1"/>
    <col min="260" max="260" width="14.33203125" style="48" customWidth="1"/>
    <col min="261" max="261" width="6" style="48" customWidth="1"/>
    <col min="262" max="263" width="14.6640625" style="48" customWidth="1"/>
    <col min="264" max="264" width="15.5546875" style="48" customWidth="1"/>
    <col min="265" max="265" width="12.21875" style="48" bestFit="1" customWidth="1"/>
    <col min="266" max="266" width="13.109375" style="48" bestFit="1" customWidth="1"/>
    <col min="267" max="267" width="10" style="48" bestFit="1" customWidth="1"/>
    <col min="268" max="268" width="9.21875" style="48" bestFit="1" customWidth="1"/>
    <col min="269" max="512" width="8.88671875" style="48"/>
    <col min="513" max="513" width="7.88671875" style="48" customWidth="1"/>
    <col min="514" max="514" width="6.5546875" style="48" customWidth="1"/>
    <col min="515" max="515" width="10.33203125" style="48" bestFit="1" customWidth="1"/>
    <col min="516" max="516" width="14.33203125" style="48" customWidth="1"/>
    <col min="517" max="517" width="6" style="48" customWidth="1"/>
    <col min="518" max="519" width="14.6640625" style="48" customWidth="1"/>
    <col min="520" max="520" width="15.5546875" style="48" customWidth="1"/>
    <col min="521" max="521" width="12.21875" style="48" bestFit="1" customWidth="1"/>
    <col min="522" max="522" width="13.109375" style="48" bestFit="1" customWidth="1"/>
    <col min="523" max="523" width="10" style="48" bestFit="1" customWidth="1"/>
    <col min="524" max="524" width="9.21875" style="48" bestFit="1" customWidth="1"/>
    <col min="525" max="768" width="8.88671875" style="48"/>
    <col min="769" max="769" width="7.88671875" style="48" customWidth="1"/>
    <col min="770" max="770" width="6.5546875" style="48" customWidth="1"/>
    <col min="771" max="771" width="10.33203125" style="48" bestFit="1" customWidth="1"/>
    <col min="772" max="772" width="14.33203125" style="48" customWidth="1"/>
    <col min="773" max="773" width="6" style="48" customWidth="1"/>
    <col min="774" max="775" width="14.6640625" style="48" customWidth="1"/>
    <col min="776" max="776" width="15.5546875" style="48" customWidth="1"/>
    <col min="777" max="777" width="12.21875" style="48" bestFit="1" customWidth="1"/>
    <col min="778" max="778" width="13.109375" style="48" bestFit="1" customWidth="1"/>
    <col min="779" max="779" width="10" style="48" bestFit="1" customWidth="1"/>
    <col min="780" max="780" width="9.21875" style="48" bestFit="1" customWidth="1"/>
    <col min="781" max="1024" width="8.88671875" style="48"/>
    <col min="1025" max="1025" width="7.88671875" style="48" customWidth="1"/>
    <col min="1026" max="1026" width="6.5546875" style="48" customWidth="1"/>
    <col min="1027" max="1027" width="10.33203125" style="48" bestFit="1" customWidth="1"/>
    <col min="1028" max="1028" width="14.33203125" style="48" customWidth="1"/>
    <col min="1029" max="1029" width="6" style="48" customWidth="1"/>
    <col min="1030" max="1031" width="14.6640625" style="48" customWidth="1"/>
    <col min="1032" max="1032" width="15.5546875" style="48" customWidth="1"/>
    <col min="1033" max="1033" width="12.21875" style="48" bestFit="1" customWidth="1"/>
    <col min="1034" max="1034" width="13.109375" style="48" bestFit="1" customWidth="1"/>
    <col min="1035" max="1035" width="10" style="48" bestFit="1" customWidth="1"/>
    <col min="1036" max="1036" width="9.21875" style="48" bestFit="1" customWidth="1"/>
    <col min="1037" max="1280" width="8.88671875" style="48"/>
    <col min="1281" max="1281" width="7.88671875" style="48" customWidth="1"/>
    <col min="1282" max="1282" width="6.5546875" style="48" customWidth="1"/>
    <col min="1283" max="1283" width="10.33203125" style="48" bestFit="1" customWidth="1"/>
    <col min="1284" max="1284" width="14.33203125" style="48" customWidth="1"/>
    <col min="1285" max="1285" width="6" style="48" customWidth="1"/>
    <col min="1286" max="1287" width="14.6640625" style="48" customWidth="1"/>
    <col min="1288" max="1288" width="15.5546875" style="48" customWidth="1"/>
    <col min="1289" max="1289" width="12.21875" style="48" bestFit="1" customWidth="1"/>
    <col min="1290" max="1290" width="13.109375" style="48" bestFit="1" customWidth="1"/>
    <col min="1291" max="1291" width="10" style="48" bestFit="1" customWidth="1"/>
    <col min="1292" max="1292" width="9.21875" style="48" bestFit="1" customWidth="1"/>
    <col min="1293" max="1536" width="8.88671875" style="48"/>
    <col min="1537" max="1537" width="7.88671875" style="48" customWidth="1"/>
    <col min="1538" max="1538" width="6.5546875" style="48" customWidth="1"/>
    <col min="1539" max="1539" width="10.33203125" style="48" bestFit="1" customWidth="1"/>
    <col min="1540" max="1540" width="14.33203125" style="48" customWidth="1"/>
    <col min="1541" max="1541" width="6" style="48" customWidth="1"/>
    <col min="1542" max="1543" width="14.6640625" style="48" customWidth="1"/>
    <col min="1544" max="1544" width="15.5546875" style="48" customWidth="1"/>
    <col min="1545" max="1545" width="12.21875" style="48" bestFit="1" customWidth="1"/>
    <col min="1546" max="1546" width="13.109375" style="48" bestFit="1" customWidth="1"/>
    <col min="1547" max="1547" width="10" style="48" bestFit="1" customWidth="1"/>
    <col min="1548" max="1548" width="9.21875" style="48" bestFit="1" customWidth="1"/>
    <col min="1549" max="1792" width="8.88671875" style="48"/>
    <col min="1793" max="1793" width="7.88671875" style="48" customWidth="1"/>
    <col min="1794" max="1794" width="6.5546875" style="48" customWidth="1"/>
    <col min="1795" max="1795" width="10.33203125" style="48" bestFit="1" customWidth="1"/>
    <col min="1796" max="1796" width="14.33203125" style="48" customWidth="1"/>
    <col min="1797" max="1797" width="6" style="48" customWidth="1"/>
    <col min="1798" max="1799" width="14.6640625" style="48" customWidth="1"/>
    <col min="1800" max="1800" width="15.5546875" style="48" customWidth="1"/>
    <col min="1801" max="1801" width="12.21875" style="48" bestFit="1" customWidth="1"/>
    <col min="1802" max="1802" width="13.109375" style="48" bestFit="1" customWidth="1"/>
    <col min="1803" max="1803" width="10" style="48" bestFit="1" customWidth="1"/>
    <col min="1804" max="1804" width="9.21875" style="48" bestFit="1" customWidth="1"/>
    <col min="1805" max="2048" width="8.88671875" style="48"/>
    <col min="2049" max="2049" width="7.88671875" style="48" customWidth="1"/>
    <col min="2050" max="2050" width="6.5546875" style="48" customWidth="1"/>
    <col min="2051" max="2051" width="10.33203125" style="48" bestFit="1" customWidth="1"/>
    <col min="2052" max="2052" width="14.33203125" style="48" customWidth="1"/>
    <col min="2053" max="2053" width="6" style="48" customWidth="1"/>
    <col min="2054" max="2055" width="14.6640625" style="48" customWidth="1"/>
    <col min="2056" max="2056" width="15.5546875" style="48" customWidth="1"/>
    <col min="2057" max="2057" width="12.21875" style="48" bestFit="1" customWidth="1"/>
    <col min="2058" max="2058" width="13.109375" style="48" bestFit="1" customWidth="1"/>
    <col min="2059" max="2059" width="10" style="48" bestFit="1" customWidth="1"/>
    <col min="2060" max="2060" width="9.21875" style="48" bestFit="1" customWidth="1"/>
    <col min="2061" max="2304" width="8.88671875" style="48"/>
    <col min="2305" max="2305" width="7.88671875" style="48" customWidth="1"/>
    <col min="2306" max="2306" width="6.5546875" style="48" customWidth="1"/>
    <col min="2307" max="2307" width="10.33203125" style="48" bestFit="1" customWidth="1"/>
    <col min="2308" max="2308" width="14.33203125" style="48" customWidth="1"/>
    <col min="2309" max="2309" width="6" style="48" customWidth="1"/>
    <col min="2310" max="2311" width="14.6640625" style="48" customWidth="1"/>
    <col min="2312" max="2312" width="15.5546875" style="48" customWidth="1"/>
    <col min="2313" max="2313" width="12.21875" style="48" bestFit="1" customWidth="1"/>
    <col min="2314" max="2314" width="13.109375" style="48" bestFit="1" customWidth="1"/>
    <col min="2315" max="2315" width="10" style="48" bestFit="1" customWidth="1"/>
    <col min="2316" max="2316" width="9.21875" style="48" bestFit="1" customWidth="1"/>
    <col min="2317" max="2560" width="8.88671875" style="48"/>
    <col min="2561" max="2561" width="7.88671875" style="48" customWidth="1"/>
    <col min="2562" max="2562" width="6.5546875" style="48" customWidth="1"/>
    <col min="2563" max="2563" width="10.33203125" style="48" bestFit="1" customWidth="1"/>
    <col min="2564" max="2564" width="14.33203125" style="48" customWidth="1"/>
    <col min="2565" max="2565" width="6" style="48" customWidth="1"/>
    <col min="2566" max="2567" width="14.6640625" style="48" customWidth="1"/>
    <col min="2568" max="2568" width="15.5546875" style="48" customWidth="1"/>
    <col min="2569" max="2569" width="12.21875" style="48" bestFit="1" customWidth="1"/>
    <col min="2570" max="2570" width="13.109375" style="48" bestFit="1" customWidth="1"/>
    <col min="2571" max="2571" width="10" style="48" bestFit="1" customWidth="1"/>
    <col min="2572" max="2572" width="9.21875" style="48" bestFit="1" customWidth="1"/>
    <col min="2573" max="2816" width="8.88671875" style="48"/>
    <col min="2817" max="2817" width="7.88671875" style="48" customWidth="1"/>
    <col min="2818" max="2818" width="6.5546875" style="48" customWidth="1"/>
    <col min="2819" max="2819" width="10.33203125" style="48" bestFit="1" customWidth="1"/>
    <col min="2820" max="2820" width="14.33203125" style="48" customWidth="1"/>
    <col min="2821" max="2821" width="6" style="48" customWidth="1"/>
    <col min="2822" max="2823" width="14.6640625" style="48" customWidth="1"/>
    <col min="2824" max="2824" width="15.5546875" style="48" customWidth="1"/>
    <col min="2825" max="2825" width="12.21875" style="48" bestFit="1" customWidth="1"/>
    <col min="2826" max="2826" width="13.109375" style="48" bestFit="1" customWidth="1"/>
    <col min="2827" max="2827" width="10" style="48" bestFit="1" customWidth="1"/>
    <col min="2828" max="2828" width="9.21875" style="48" bestFit="1" customWidth="1"/>
    <col min="2829" max="3072" width="8.88671875" style="48"/>
    <col min="3073" max="3073" width="7.88671875" style="48" customWidth="1"/>
    <col min="3074" max="3074" width="6.5546875" style="48" customWidth="1"/>
    <col min="3075" max="3075" width="10.33203125" style="48" bestFit="1" customWidth="1"/>
    <col min="3076" max="3076" width="14.33203125" style="48" customWidth="1"/>
    <col min="3077" max="3077" width="6" style="48" customWidth="1"/>
    <col min="3078" max="3079" width="14.6640625" style="48" customWidth="1"/>
    <col min="3080" max="3080" width="15.5546875" style="48" customWidth="1"/>
    <col min="3081" max="3081" width="12.21875" style="48" bestFit="1" customWidth="1"/>
    <col min="3082" max="3082" width="13.109375" style="48" bestFit="1" customWidth="1"/>
    <col min="3083" max="3083" width="10" style="48" bestFit="1" customWidth="1"/>
    <col min="3084" max="3084" width="9.21875" style="48" bestFit="1" customWidth="1"/>
    <col min="3085" max="3328" width="8.88671875" style="48"/>
    <col min="3329" max="3329" width="7.88671875" style="48" customWidth="1"/>
    <col min="3330" max="3330" width="6.5546875" style="48" customWidth="1"/>
    <col min="3331" max="3331" width="10.33203125" style="48" bestFit="1" customWidth="1"/>
    <col min="3332" max="3332" width="14.33203125" style="48" customWidth="1"/>
    <col min="3333" max="3333" width="6" style="48" customWidth="1"/>
    <col min="3334" max="3335" width="14.6640625" style="48" customWidth="1"/>
    <col min="3336" max="3336" width="15.5546875" style="48" customWidth="1"/>
    <col min="3337" max="3337" width="12.21875" style="48" bestFit="1" customWidth="1"/>
    <col min="3338" max="3338" width="13.109375" style="48" bestFit="1" customWidth="1"/>
    <col min="3339" max="3339" width="10" style="48" bestFit="1" customWidth="1"/>
    <col min="3340" max="3340" width="9.21875" style="48" bestFit="1" customWidth="1"/>
    <col min="3341" max="3584" width="8.88671875" style="48"/>
    <col min="3585" max="3585" width="7.88671875" style="48" customWidth="1"/>
    <col min="3586" max="3586" width="6.5546875" style="48" customWidth="1"/>
    <col min="3587" max="3587" width="10.33203125" style="48" bestFit="1" customWidth="1"/>
    <col min="3588" max="3588" width="14.33203125" style="48" customWidth="1"/>
    <col min="3589" max="3589" width="6" style="48" customWidth="1"/>
    <col min="3590" max="3591" width="14.6640625" style="48" customWidth="1"/>
    <col min="3592" max="3592" width="15.5546875" style="48" customWidth="1"/>
    <col min="3593" max="3593" width="12.21875" style="48" bestFit="1" customWidth="1"/>
    <col min="3594" max="3594" width="13.109375" style="48" bestFit="1" customWidth="1"/>
    <col min="3595" max="3595" width="10" style="48" bestFit="1" customWidth="1"/>
    <col min="3596" max="3596" width="9.21875" style="48" bestFit="1" customWidth="1"/>
    <col min="3597" max="3840" width="8.88671875" style="48"/>
    <col min="3841" max="3841" width="7.88671875" style="48" customWidth="1"/>
    <col min="3842" max="3842" width="6.5546875" style="48" customWidth="1"/>
    <col min="3843" max="3843" width="10.33203125" style="48" bestFit="1" customWidth="1"/>
    <col min="3844" max="3844" width="14.33203125" style="48" customWidth="1"/>
    <col min="3845" max="3845" width="6" style="48" customWidth="1"/>
    <col min="3846" max="3847" width="14.6640625" style="48" customWidth="1"/>
    <col min="3848" max="3848" width="15.5546875" style="48" customWidth="1"/>
    <col min="3849" max="3849" width="12.21875" style="48" bestFit="1" customWidth="1"/>
    <col min="3850" max="3850" width="13.109375" style="48" bestFit="1" customWidth="1"/>
    <col min="3851" max="3851" width="10" style="48" bestFit="1" customWidth="1"/>
    <col min="3852" max="3852" width="9.21875" style="48" bestFit="1" customWidth="1"/>
    <col min="3853" max="4096" width="8.88671875" style="48"/>
    <col min="4097" max="4097" width="7.88671875" style="48" customWidth="1"/>
    <col min="4098" max="4098" width="6.5546875" style="48" customWidth="1"/>
    <col min="4099" max="4099" width="10.33203125" style="48" bestFit="1" customWidth="1"/>
    <col min="4100" max="4100" width="14.33203125" style="48" customWidth="1"/>
    <col min="4101" max="4101" width="6" style="48" customWidth="1"/>
    <col min="4102" max="4103" width="14.6640625" style="48" customWidth="1"/>
    <col min="4104" max="4104" width="15.5546875" style="48" customWidth="1"/>
    <col min="4105" max="4105" width="12.21875" style="48" bestFit="1" customWidth="1"/>
    <col min="4106" max="4106" width="13.109375" style="48" bestFit="1" customWidth="1"/>
    <col min="4107" max="4107" width="10" style="48" bestFit="1" customWidth="1"/>
    <col min="4108" max="4108" width="9.21875" style="48" bestFit="1" customWidth="1"/>
    <col min="4109" max="4352" width="8.88671875" style="48"/>
    <col min="4353" max="4353" width="7.88671875" style="48" customWidth="1"/>
    <col min="4354" max="4354" width="6.5546875" style="48" customWidth="1"/>
    <col min="4355" max="4355" width="10.33203125" style="48" bestFit="1" customWidth="1"/>
    <col min="4356" max="4356" width="14.33203125" style="48" customWidth="1"/>
    <col min="4357" max="4357" width="6" style="48" customWidth="1"/>
    <col min="4358" max="4359" width="14.6640625" style="48" customWidth="1"/>
    <col min="4360" max="4360" width="15.5546875" style="48" customWidth="1"/>
    <col min="4361" max="4361" width="12.21875" style="48" bestFit="1" customWidth="1"/>
    <col min="4362" max="4362" width="13.109375" style="48" bestFit="1" customWidth="1"/>
    <col min="4363" max="4363" width="10" style="48" bestFit="1" customWidth="1"/>
    <col min="4364" max="4364" width="9.21875" style="48" bestFit="1" customWidth="1"/>
    <col min="4365" max="4608" width="8.88671875" style="48"/>
    <col min="4609" max="4609" width="7.88671875" style="48" customWidth="1"/>
    <col min="4610" max="4610" width="6.5546875" style="48" customWidth="1"/>
    <col min="4611" max="4611" width="10.33203125" style="48" bestFit="1" customWidth="1"/>
    <col min="4612" max="4612" width="14.33203125" style="48" customWidth="1"/>
    <col min="4613" max="4613" width="6" style="48" customWidth="1"/>
    <col min="4614" max="4615" width="14.6640625" style="48" customWidth="1"/>
    <col min="4616" max="4616" width="15.5546875" style="48" customWidth="1"/>
    <col min="4617" max="4617" width="12.21875" style="48" bestFit="1" customWidth="1"/>
    <col min="4618" max="4618" width="13.109375" style="48" bestFit="1" customWidth="1"/>
    <col min="4619" max="4619" width="10" style="48" bestFit="1" customWidth="1"/>
    <col min="4620" max="4620" width="9.21875" style="48" bestFit="1" customWidth="1"/>
    <col min="4621" max="4864" width="8.88671875" style="48"/>
    <col min="4865" max="4865" width="7.88671875" style="48" customWidth="1"/>
    <col min="4866" max="4866" width="6.5546875" style="48" customWidth="1"/>
    <col min="4867" max="4867" width="10.33203125" style="48" bestFit="1" customWidth="1"/>
    <col min="4868" max="4868" width="14.33203125" style="48" customWidth="1"/>
    <col min="4869" max="4869" width="6" style="48" customWidth="1"/>
    <col min="4870" max="4871" width="14.6640625" style="48" customWidth="1"/>
    <col min="4872" max="4872" width="15.5546875" style="48" customWidth="1"/>
    <col min="4873" max="4873" width="12.21875" style="48" bestFit="1" customWidth="1"/>
    <col min="4874" max="4874" width="13.109375" style="48" bestFit="1" customWidth="1"/>
    <col min="4875" max="4875" width="10" style="48" bestFit="1" customWidth="1"/>
    <col min="4876" max="4876" width="9.21875" style="48" bestFit="1" customWidth="1"/>
    <col min="4877" max="5120" width="8.88671875" style="48"/>
    <col min="5121" max="5121" width="7.88671875" style="48" customWidth="1"/>
    <col min="5122" max="5122" width="6.5546875" style="48" customWidth="1"/>
    <col min="5123" max="5123" width="10.33203125" style="48" bestFit="1" customWidth="1"/>
    <col min="5124" max="5124" width="14.33203125" style="48" customWidth="1"/>
    <col min="5125" max="5125" width="6" style="48" customWidth="1"/>
    <col min="5126" max="5127" width="14.6640625" style="48" customWidth="1"/>
    <col min="5128" max="5128" width="15.5546875" style="48" customWidth="1"/>
    <col min="5129" max="5129" width="12.21875" style="48" bestFit="1" customWidth="1"/>
    <col min="5130" max="5130" width="13.109375" style="48" bestFit="1" customWidth="1"/>
    <col min="5131" max="5131" width="10" style="48" bestFit="1" customWidth="1"/>
    <col min="5132" max="5132" width="9.21875" style="48" bestFit="1" customWidth="1"/>
    <col min="5133" max="5376" width="8.88671875" style="48"/>
    <col min="5377" max="5377" width="7.88671875" style="48" customWidth="1"/>
    <col min="5378" max="5378" width="6.5546875" style="48" customWidth="1"/>
    <col min="5379" max="5379" width="10.33203125" style="48" bestFit="1" customWidth="1"/>
    <col min="5380" max="5380" width="14.33203125" style="48" customWidth="1"/>
    <col min="5381" max="5381" width="6" style="48" customWidth="1"/>
    <col min="5382" max="5383" width="14.6640625" style="48" customWidth="1"/>
    <col min="5384" max="5384" width="15.5546875" style="48" customWidth="1"/>
    <col min="5385" max="5385" width="12.21875" style="48" bestFit="1" customWidth="1"/>
    <col min="5386" max="5386" width="13.109375" style="48" bestFit="1" customWidth="1"/>
    <col min="5387" max="5387" width="10" style="48" bestFit="1" customWidth="1"/>
    <col min="5388" max="5388" width="9.21875" style="48" bestFit="1" customWidth="1"/>
    <col min="5389" max="5632" width="8.88671875" style="48"/>
    <col min="5633" max="5633" width="7.88671875" style="48" customWidth="1"/>
    <col min="5634" max="5634" width="6.5546875" style="48" customWidth="1"/>
    <col min="5635" max="5635" width="10.33203125" style="48" bestFit="1" customWidth="1"/>
    <col min="5636" max="5636" width="14.33203125" style="48" customWidth="1"/>
    <col min="5637" max="5637" width="6" style="48" customWidth="1"/>
    <col min="5638" max="5639" width="14.6640625" style="48" customWidth="1"/>
    <col min="5640" max="5640" width="15.5546875" style="48" customWidth="1"/>
    <col min="5641" max="5641" width="12.21875" style="48" bestFit="1" customWidth="1"/>
    <col min="5642" max="5642" width="13.109375" style="48" bestFit="1" customWidth="1"/>
    <col min="5643" max="5643" width="10" style="48" bestFit="1" customWidth="1"/>
    <col min="5644" max="5644" width="9.21875" style="48" bestFit="1" customWidth="1"/>
    <col min="5645" max="5888" width="8.88671875" style="48"/>
    <col min="5889" max="5889" width="7.88671875" style="48" customWidth="1"/>
    <col min="5890" max="5890" width="6.5546875" style="48" customWidth="1"/>
    <col min="5891" max="5891" width="10.33203125" style="48" bestFit="1" customWidth="1"/>
    <col min="5892" max="5892" width="14.33203125" style="48" customWidth="1"/>
    <col min="5893" max="5893" width="6" style="48" customWidth="1"/>
    <col min="5894" max="5895" width="14.6640625" style="48" customWidth="1"/>
    <col min="5896" max="5896" width="15.5546875" style="48" customWidth="1"/>
    <col min="5897" max="5897" width="12.21875" style="48" bestFit="1" customWidth="1"/>
    <col min="5898" max="5898" width="13.109375" style="48" bestFit="1" customWidth="1"/>
    <col min="5899" max="5899" width="10" style="48" bestFit="1" customWidth="1"/>
    <col min="5900" max="5900" width="9.21875" style="48" bestFit="1" customWidth="1"/>
    <col min="5901" max="6144" width="8.88671875" style="48"/>
    <col min="6145" max="6145" width="7.88671875" style="48" customWidth="1"/>
    <col min="6146" max="6146" width="6.5546875" style="48" customWidth="1"/>
    <col min="6147" max="6147" width="10.33203125" style="48" bestFit="1" customWidth="1"/>
    <col min="6148" max="6148" width="14.33203125" style="48" customWidth="1"/>
    <col min="6149" max="6149" width="6" style="48" customWidth="1"/>
    <col min="6150" max="6151" width="14.6640625" style="48" customWidth="1"/>
    <col min="6152" max="6152" width="15.5546875" style="48" customWidth="1"/>
    <col min="6153" max="6153" width="12.21875" style="48" bestFit="1" customWidth="1"/>
    <col min="6154" max="6154" width="13.109375" style="48" bestFit="1" customWidth="1"/>
    <col min="6155" max="6155" width="10" style="48" bestFit="1" customWidth="1"/>
    <col min="6156" max="6156" width="9.21875" style="48" bestFit="1" customWidth="1"/>
    <col min="6157" max="6400" width="8.88671875" style="48"/>
    <col min="6401" max="6401" width="7.88671875" style="48" customWidth="1"/>
    <col min="6402" max="6402" width="6.5546875" style="48" customWidth="1"/>
    <col min="6403" max="6403" width="10.33203125" style="48" bestFit="1" customWidth="1"/>
    <col min="6404" max="6404" width="14.33203125" style="48" customWidth="1"/>
    <col min="6405" max="6405" width="6" style="48" customWidth="1"/>
    <col min="6406" max="6407" width="14.6640625" style="48" customWidth="1"/>
    <col min="6408" max="6408" width="15.5546875" style="48" customWidth="1"/>
    <col min="6409" max="6409" width="12.21875" style="48" bestFit="1" customWidth="1"/>
    <col min="6410" max="6410" width="13.109375" style="48" bestFit="1" customWidth="1"/>
    <col min="6411" max="6411" width="10" style="48" bestFit="1" customWidth="1"/>
    <col min="6412" max="6412" width="9.21875" style="48" bestFit="1" customWidth="1"/>
    <col min="6413" max="6656" width="8.88671875" style="48"/>
    <col min="6657" max="6657" width="7.88671875" style="48" customWidth="1"/>
    <col min="6658" max="6658" width="6.5546875" style="48" customWidth="1"/>
    <col min="6659" max="6659" width="10.33203125" style="48" bestFit="1" customWidth="1"/>
    <col min="6660" max="6660" width="14.33203125" style="48" customWidth="1"/>
    <col min="6661" max="6661" width="6" style="48" customWidth="1"/>
    <col min="6662" max="6663" width="14.6640625" style="48" customWidth="1"/>
    <col min="6664" max="6664" width="15.5546875" style="48" customWidth="1"/>
    <col min="6665" max="6665" width="12.21875" style="48" bestFit="1" customWidth="1"/>
    <col min="6666" max="6666" width="13.109375" style="48" bestFit="1" customWidth="1"/>
    <col min="6667" max="6667" width="10" style="48" bestFit="1" customWidth="1"/>
    <col min="6668" max="6668" width="9.21875" style="48" bestFit="1" customWidth="1"/>
    <col min="6669" max="6912" width="8.88671875" style="48"/>
    <col min="6913" max="6913" width="7.88671875" style="48" customWidth="1"/>
    <col min="6914" max="6914" width="6.5546875" style="48" customWidth="1"/>
    <col min="6915" max="6915" width="10.33203125" style="48" bestFit="1" customWidth="1"/>
    <col min="6916" max="6916" width="14.33203125" style="48" customWidth="1"/>
    <col min="6917" max="6917" width="6" style="48" customWidth="1"/>
    <col min="6918" max="6919" width="14.6640625" style="48" customWidth="1"/>
    <col min="6920" max="6920" width="15.5546875" style="48" customWidth="1"/>
    <col min="6921" max="6921" width="12.21875" style="48" bestFit="1" customWidth="1"/>
    <col min="6922" max="6922" width="13.109375" style="48" bestFit="1" customWidth="1"/>
    <col min="6923" max="6923" width="10" style="48" bestFit="1" customWidth="1"/>
    <col min="6924" max="6924" width="9.21875" style="48" bestFit="1" customWidth="1"/>
    <col min="6925" max="7168" width="8.88671875" style="48"/>
    <col min="7169" max="7169" width="7.88671875" style="48" customWidth="1"/>
    <col min="7170" max="7170" width="6.5546875" style="48" customWidth="1"/>
    <col min="7171" max="7171" width="10.33203125" style="48" bestFit="1" customWidth="1"/>
    <col min="7172" max="7172" width="14.33203125" style="48" customWidth="1"/>
    <col min="7173" max="7173" width="6" style="48" customWidth="1"/>
    <col min="7174" max="7175" width="14.6640625" style="48" customWidth="1"/>
    <col min="7176" max="7176" width="15.5546875" style="48" customWidth="1"/>
    <col min="7177" max="7177" width="12.21875" style="48" bestFit="1" customWidth="1"/>
    <col min="7178" max="7178" width="13.109375" style="48" bestFit="1" customWidth="1"/>
    <col min="7179" max="7179" width="10" style="48" bestFit="1" customWidth="1"/>
    <col min="7180" max="7180" width="9.21875" style="48" bestFit="1" customWidth="1"/>
    <col min="7181" max="7424" width="8.88671875" style="48"/>
    <col min="7425" max="7425" width="7.88671875" style="48" customWidth="1"/>
    <col min="7426" max="7426" width="6.5546875" style="48" customWidth="1"/>
    <col min="7427" max="7427" width="10.33203125" style="48" bestFit="1" customWidth="1"/>
    <col min="7428" max="7428" width="14.33203125" style="48" customWidth="1"/>
    <col min="7429" max="7429" width="6" style="48" customWidth="1"/>
    <col min="7430" max="7431" width="14.6640625" style="48" customWidth="1"/>
    <col min="7432" max="7432" width="15.5546875" style="48" customWidth="1"/>
    <col min="7433" max="7433" width="12.21875" style="48" bestFit="1" customWidth="1"/>
    <col min="7434" max="7434" width="13.109375" style="48" bestFit="1" customWidth="1"/>
    <col min="7435" max="7435" width="10" style="48" bestFit="1" customWidth="1"/>
    <col min="7436" max="7436" width="9.21875" style="48" bestFit="1" customWidth="1"/>
    <col min="7437" max="7680" width="8.88671875" style="48"/>
    <col min="7681" max="7681" width="7.88671875" style="48" customWidth="1"/>
    <col min="7682" max="7682" width="6.5546875" style="48" customWidth="1"/>
    <col min="7683" max="7683" width="10.33203125" style="48" bestFit="1" customWidth="1"/>
    <col min="7684" max="7684" width="14.33203125" style="48" customWidth="1"/>
    <col min="7685" max="7685" width="6" style="48" customWidth="1"/>
    <col min="7686" max="7687" width="14.6640625" style="48" customWidth="1"/>
    <col min="7688" max="7688" width="15.5546875" style="48" customWidth="1"/>
    <col min="7689" max="7689" width="12.21875" style="48" bestFit="1" customWidth="1"/>
    <col min="7690" max="7690" width="13.109375" style="48" bestFit="1" customWidth="1"/>
    <col min="7691" max="7691" width="10" style="48" bestFit="1" customWidth="1"/>
    <col min="7692" max="7692" width="9.21875" style="48" bestFit="1" customWidth="1"/>
    <col min="7693" max="7936" width="8.88671875" style="48"/>
    <col min="7937" max="7937" width="7.88671875" style="48" customWidth="1"/>
    <col min="7938" max="7938" width="6.5546875" style="48" customWidth="1"/>
    <col min="7939" max="7939" width="10.33203125" style="48" bestFit="1" customWidth="1"/>
    <col min="7940" max="7940" width="14.33203125" style="48" customWidth="1"/>
    <col min="7941" max="7941" width="6" style="48" customWidth="1"/>
    <col min="7942" max="7943" width="14.6640625" style="48" customWidth="1"/>
    <col min="7944" max="7944" width="15.5546875" style="48" customWidth="1"/>
    <col min="7945" max="7945" width="12.21875" style="48" bestFit="1" customWidth="1"/>
    <col min="7946" max="7946" width="13.109375" style="48" bestFit="1" customWidth="1"/>
    <col min="7947" max="7947" width="10" style="48" bestFit="1" customWidth="1"/>
    <col min="7948" max="7948" width="9.21875" style="48" bestFit="1" customWidth="1"/>
    <col min="7949" max="8192" width="8.88671875" style="48"/>
    <col min="8193" max="8193" width="7.88671875" style="48" customWidth="1"/>
    <col min="8194" max="8194" width="6.5546875" style="48" customWidth="1"/>
    <col min="8195" max="8195" width="10.33203125" style="48" bestFit="1" customWidth="1"/>
    <col min="8196" max="8196" width="14.33203125" style="48" customWidth="1"/>
    <col min="8197" max="8197" width="6" style="48" customWidth="1"/>
    <col min="8198" max="8199" width="14.6640625" style="48" customWidth="1"/>
    <col min="8200" max="8200" width="15.5546875" style="48" customWidth="1"/>
    <col min="8201" max="8201" width="12.21875" style="48" bestFit="1" customWidth="1"/>
    <col min="8202" max="8202" width="13.109375" style="48" bestFit="1" customWidth="1"/>
    <col min="8203" max="8203" width="10" style="48" bestFit="1" customWidth="1"/>
    <col min="8204" max="8204" width="9.21875" style="48" bestFit="1" customWidth="1"/>
    <col min="8205" max="8448" width="8.88671875" style="48"/>
    <col min="8449" max="8449" width="7.88671875" style="48" customWidth="1"/>
    <col min="8450" max="8450" width="6.5546875" style="48" customWidth="1"/>
    <col min="8451" max="8451" width="10.33203125" style="48" bestFit="1" customWidth="1"/>
    <col min="8452" max="8452" width="14.33203125" style="48" customWidth="1"/>
    <col min="8453" max="8453" width="6" style="48" customWidth="1"/>
    <col min="8454" max="8455" width="14.6640625" style="48" customWidth="1"/>
    <col min="8456" max="8456" width="15.5546875" style="48" customWidth="1"/>
    <col min="8457" max="8457" width="12.21875" style="48" bestFit="1" customWidth="1"/>
    <col min="8458" max="8458" width="13.109375" style="48" bestFit="1" customWidth="1"/>
    <col min="8459" max="8459" width="10" style="48" bestFit="1" customWidth="1"/>
    <col min="8460" max="8460" width="9.21875" style="48" bestFit="1" customWidth="1"/>
    <col min="8461" max="8704" width="8.88671875" style="48"/>
    <col min="8705" max="8705" width="7.88671875" style="48" customWidth="1"/>
    <col min="8706" max="8706" width="6.5546875" style="48" customWidth="1"/>
    <col min="8707" max="8707" width="10.33203125" style="48" bestFit="1" customWidth="1"/>
    <col min="8708" max="8708" width="14.33203125" style="48" customWidth="1"/>
    <col min="8709" max="8709" width="6" style="48" customWidth="1"/>
    <col min="8710" max="8711" width="14.6640625" style="48" customWidth="1"/>
    <col min="8712" max="8712" width="15.5546875" style="48" customWidth="1"/>
    <col min="8713" max="8713" width="12.21875" style="48" bestFit="1" customWidth="1"/>
    <col min="8714" max="8714" width="13.109375" style="48" bestFit="1" customWidth="1"/>
    <col min="8715" max="8715" width="10" style="48" bestFit="1" customWidth="1"/>
    <col min="8716" max="8716" width="9.21875" style="48" bestFit="1" customWidth="1"/>
    <col min="8717" max="8960" width="8.88671875" style="48"/>
    <col min="8961" max="8961" width="7.88671875" style="48" customWidth="1"/>
    <col min="8962" max="8962" width="6.5546875" style="48" customWidth="1"/>
    <col min="8963" max="8963" width="10.33203125" style="48" bestFit="1" customWidth="1"/>
    <col min="8964" max="8964" width="14.33203125" style="48" customWidth="1"/>
    <col min="8965" max="8965" width="6" style="48" customWidth="1"/>
    <col min="8966" max="8967" width="14.6640625" style="48" customWidth="1"/>
    <col min="8968" max="8968" width="15.5546875" style="48" customWidth="1"/>
    <col min="8969" max="8969" width="12.21875" style="48" bestFit="1" customWidth="1"/>
    <col min="8970" max="8970" width="13.109375" style="48" bestFit="1" customWidth="1"/>
    <col min="8971" max="8971" width="10" style="48" bestFit="1" customWidth="1"/>
    <col min="8972" max="8972" width="9.21875" style="48" bestFit="1" customWidth="1"/>
    <col min="8973" max="9216" width="8.88671875" style="48"/>
    <col min="9217" max="9217" width="7.88671875" style="48" customWidth="1"/>
    <col min="9218" max="9218" width="6.5546875" style="48" customWidth="1"/>
    <col min="9219" max="9219" width="10.33203125" style="48" bestFit="1" customWidth="1"/>
    <col min="9220" max="9220" width="14.33203125" style="48" customWidth="1"/>
    <col min="9221" max="9221" width="6" style="48" customWidth="1"/>
    <col min="9222" max="9223" width="14.6640625" style="48" customWidth="1"/>
    <col min="9224" max="9224" width="15.5546875" style="48" customWidth="1"/>
    <col min="9225" max="9225" width="12.21875" style="48" bestFit="1" customWidth="1"/>
    <col min="9226" max="9226" width="13.109375" style="48" bestFit="1" customWidth="1"/>
    <col min="9227" max="9227" width="10" style="48" bestFit="1" customWidth="1"/>
    <col min="9228" max="9228" width="9.21875" style="48" bestFit="1" customWidth="1"/>
    <col min="9229" max="9472" width="8.88671875" style="48"/>
    <col min="9473" max="9473" width="7.88671875" style="48" customWidth="1"/>
    <col min="9474" max="9474" width="6.5546875" style="48" customWidth="1"/>
    <col min="9475" max="9475" width="10.33203125" style="48" bestFit="1" customWidth="1"/>
    <col min="9476" max="9476" width="14.33203125" style="48" customWidth="1"/>
    <col min="9477" max="9477" width="6" style="48" customWidth="1"/>
    <col min="9478" max="9479" width="14.6640625" style="48" customWidth="1"/>
    <col min="9480" max="9480" width="15.5546875" style="48" customWidth="1"/>
    <col min="9481" max="9481" width="12.21875" style="48" bestFit="1" customWidth="1"/>
    <col min="9482" max="9482" width="13.109375" style="48" bestFit="1" customWidth="1"/>
    <col min="9483" max="9483" width="10" style="48" bestFit="1" customWidth="1"/>
    <col min="9484" max="9484" width="9.21875" style="48" bestFit="1" customWidth="1"/>
    <col min="9485" max="9728" width="8.88671875" style="48"/>
    <col min="9729" max="9729" width="7.88671875" style="48" customWidth="1"/>
    <col min="9730" max="9730" width="6.5546875" style="48" customWidth="1"/>
    <col min="9731" max="9731" width="10.33203125" style="48" bestFit="1" customWidth="1"/>
    <col min="9732" max="9732" width="14.33203125" style="48" customWidth="1"/>
    <col min="9733" max="9733" width="6" style="48" customWidth="1"/>
    <col min="9734" max="9735" width="14.6640625" style="48" customWidth="1"/>
    <col min="9736" max="9736" width="15.5546875" style="48" customWidth="1"/>
    <col min="9737" max="9737" width="12.21875" style="48" bestFit="1" customWidth="1"/>
    <col min="9738" max="9738" width="13.109375" style="48" bestFit="1" customWidth="1"/>
    <col min="9739" max="9739" width="10" style="48" bestFit="1" customWidth="1"/>
    <col min="9740" max="9740" width="9.21875" style="48" bestFit="1" customWidth="1"/>
    <col min="9741" max="9984" width="8.88671875" style="48"/>
    <col min="9985" max="9985" width="7.88671875" style="48" customWidth="1"/>
    <col min="9986" max="9986" width="6.5546875" style="48" customWidth="1"/>
    <col min="9987" max="9987" width="10.33203125" style="48" bestFit="1" customWidth="1"/>
    <col min="9988" max="9988" width="14.33203125" style="48" customWidth="1"/>
    <col min="9989" max="9989" width="6" style="48" customWidth="1"/>
    <col min="9990" max="9991" width="14.6640625" style="48" customWidth="1"/>
    <col min="9992" max="9992" width="15.5546875" style="48" customWidth="1"/>
    <col min="9993" max="9993" width="12.21875" style="48" bestFit="1" customWidth="1"/>
    <col min="9994" max="9994" width="13.109375" style="48" bestFit="1" customWidth="1"/>
    <col min="9995" max="9995" width="10" style="48" bestFit="1" customWidth="1"/>
    <col min="9996" max="9996" width="9.21875" style="48" bestFit="1" customWidth="1"/>
    <col min="9997" max="10240" width="8.88671875" style="48"/>
    <col min="10241" max="10241" width="7.88671875" style="48" customWidth="1"/>
    <col min="10242" max="10242" width="6.5546875" style="48" customWidth="1"/>
    <col min="10243" max="10243" width="10.33203125" style="48" bestFit="1" customWidth="1"/>
    <col min="10244" max="10244" width="14.33203125" style="48" customWidth="1"/>
    <col min="10245" max="10245" width="6" style="48" customWidth="1"/>
    <col min="10246" max="10247" width="14.6640625" style="48" customWidth="1"/>
    <col min="10248" max="10248" width="15.5546875" style="48" customWidth="1"/>
    <col min="10249" max="10249" width="12.21875" style="48" bestFit="1" customWidth="1"/>
    <col min="10250" max="10250" width="13.109375" style="48" bestFit="1" customWidth="1"/>
    <col min="10251" max="10251" width="10" style="48" bestFit="1" customWidth="1"/>
    <col min="10252" max="10252" width="9.21875" style="48" bestFit="1" customWidth="1"/>
    <col min="10253" max="10496" width="8.88671875" style="48"/>
    <col min="10497" max="10497" width="7.88671875" style="48" customWidth="1"/>
    <col min="10498" max="10498" width="6.5546875" style="48" customWidth="1"/>
    <col min="10499" max="10499" width="10.33203125" style="48" bestFit="1" customWidth="1"/>
    <col min="10500" max="10500" width="14.33203125" style="48" customWidth="1"/>
    <col min="10501" max="10501" width="6" style="48" customWidth="1"/>
    <col min="10502" max="10503" width="14.6640625" style="48" customWidth="1"/>
    <col min="10504" max="10504" width="15.5546875" style="48" customWidth="1"/>
    <col min="10505" max="10505" width="12.21875" style="48" bestFit="1" customWidth="1"/>
    <col min="10506" max="10506" width="13.109375" style="48" bestFit="1" customWidth="1"/>
    <col min="10507" max="10507" width="10" style="48" bestFit="1" customWidth="1"/>
    <col min="10508" max="10508" width="9.21875" style="48" bestFit="1" customWidth="1"/>
    <col min="10509" max="10752" width="8.88671875" style="48"/>
    <col min="10753" max="10753" width="7.88671875" style="48" customWidth="1"/>
    <col min="10754" max="10754" width="6.5546875" style="48" customWidth="1"/>
    <col min="10755" max="10755" width="10.33203125" style="48" bestFit="1" customWidth="1"/>
    <col min="10756" max="10756" width="14.33203125" style="48" customWidth="1"/>
    <col min="10757" max="10757" width="6" style="48" customWidth="1"/>
    <col min="10758" max="10759" width="14.6640625" style="48" customWidth="1"/>
    <col min="10760" max="10760" width="15.5546875" style="48" customWidth="1"/>
    <col min="10761" max="10761" width="12.21875" style="48" bestFit="1" customWidth="1"/>
    <col min="10762" max="10762" width="13.109375" style="48" bestFit="1" customWidth="1"/>
    <col min="10763" max="10763" width="10" style="48" bestFit="1" customWidth="1"/>
    <col min="10764" max="10764" width="9.21875" style="48" bestFit="1" customWidth="1"/>
    <col min="10765" max="11008" width="8.88671875" style="48"/>
    <col min="11009" max="11009" width="7.88671875" style="48" customWidth="1"/>
    <col min="11010" max="11010" width="6.5546875" style="48" customWidth="1"/>
    <col min="11011" max="11011" width="10.33203125" style="48" bestFit="1" customWidth="1"/>
    <col min="11012" max="11012" width="14.33203125" style="48" customWidth="1"/>
    <col min="11013" max="11013" width="6" style="48" customWidth="1"/>
    <col min="11014" max="11015" width="14.6640625" style="48" customWidth="1"/>
    <col min="11016" max="11016" width="15.5546875" style="48" customWidth="1"/>
    <col min="11017" max="11017" width="12.21875" style="48" bestFit="1" customWidth="1"/>
    <col min="11018" max="11018" width="13.109375" style="48" bestFit="1" customWidth="1"/>
    <col min="11019" max="11019" width="10" style="48" bestFit="1" customWidth="1"/>
    <col min="11020" max="11020" width="9.21875" style="48" bestFit="1" customWidth="1"/>
    <col min="11021" max="11264" width="8.88671875" style="48"/>
    <col min="11265" max="11265" width="7.88671875" style="48" customWidth="1"/>
    <col min="11266" max="11266" width="6.5546875" style="48" customWidth="1"/>
    <col min="11267" max="11267" width="10.33203125" style="48" bestFit="1" customWidth="1"/>
    <col min="11268" max="11268" width="14.33203125" style="48" customWidth="1"/>
    <col min="11269" max="11269" width="6" style="48" customWidth="1"/>
    <col min="11270" max="11271" width="14.6640625" style="48" customWidth="1"/>
    <col min="11272" max="11272" width="15.5546875" style="48" customWidth="1"/>
    <col min="11273" max="11273" width="12.21875" style="48" bestFit="1" customWidth="1"/>
    <col min="11274" max="11274" width="13.109375" style="48" bestFit="1" customWidth="1"/>
    <col min="11275" max="11275" width="10" style="48" bestFit="1" customWidth="1"/>
    <col min="11276" max="11276" width="9.21875" style="48" bestFit="1" customWidth="1"/>
    <col min="11277" max="11520" width="8.88671875" style="48"/>
    <col min="11521" max="11521" width="7.88671875" style="48" customWidth="1"/>
    <col min="11522" max="11522" width="6.5546875" style="48" customWidth="1"/>
    <col min="11523" max="11523" width="10.33203125" style="48" bestFit="1" customWidth="1"/>
    <col min="11524" max="11524" width="14.33203125" style="48" customWidth="1"/>
    <col min="11525" max="11525" width="6" style="48" customWidth="1"/>
    <col min="11526" max="11527" width="14.6640625" style="48" customWidth="1"/>
    <col min="11528" max="11528" width="15.5546875" style="48" customWidth="1"/>
    <col min="11529" max="11529" width="12.21875" style="48" bestFit="1" customWidth="1"/>
    <col min="11530" max="11530" width="13.109375" style="48" bestFit="1" customWidth="1"/>
    <col min="11531" max="11531" width="10" style="48" bestFit="1" customWidth="1"/>
    <col min="11532" max="11532" width="9.21875" style="48" bestFit="1" customWidth="1"/>
    <col min="11533" max="11776" width="8.88671875" style="48"/>
    <col min="11777" max="11777" width="7.88671875" style="48" customWidth="1"/>
    <col min="11778" max="11778" width="6.5546875" style="48" customWidth="1"/>
    <col min="11779" max="11779" width="10.33203125" style="48" bestFit="1" customWidth="1"/>
    <col min="11780" max="11780" width="14.33203125" style="48" customWidth="1"/>
    <col min="11781" max="11781" width="6" style="48" customWidth="1"/>
    <col min="11782" max="11783" width="14.6640625" style="48" customWidth="1"/>
    <col min="11784" max="11784" width="15.5546875" style="48" customWidth="1"/>
    <col min="11785" max="11785" width="12.21875" style="48" bestFit="1" customWidth="1"/>
    <col min="11786" max="11786" width="13.109375" style="48" bestFit="1" customWidth="1"/>
    <col min="11787" max="11787" width="10" style="48" bestFit="1" customWidth="1"/>
    <col min="11788" max="11788" width="9.21875" style="48" bestFit="1" customWidth="1"/>
    <col min="11789" max="12032" width="8.88671875" style="48"/>
    <col min="12033" max="12033" width="7.88671875" style="48" customWidth="1"/>
    <col min="12034" max="12034" width="6.5546875" style="48" customWidth="1"/>
    <col min="12035" max="12035" width="10.33203125" style="48" bestFit="1" customWidth="1"/>
    <col min="12036" max="12036" width="14.33203125" style="48" customWidth="1"/>
    <col min="12037" max="12037" width="6" style="48" customWidth="1"/>
    <col min="12038" max="12039" width="14.6640625" style="48" customWidth="1"/>
    <col min="12040" max="12040" width="15.5546875" style="48" customWidth="1"/>
    <col min="12041" max="12041" width="12.21875" style="48" bestFit="1" customWidth="1"/>
    <col min="12042" max="12042" width="13.109375" style="48" bestFit="1" customWidth="1"/>
    <col min="12043" max="12043" width="10" style="48" bestFit="1" customWidth="1"/>
    <col min="12044" max="12044" width="9.21875" style="48" bestFit="1" customWidth="1"/>
    <col min="12045" max="12288" width="8.88671875" style="48"/>
    <col min="12289" max="12289" width="7.88671875" style="48" customWidth="1"/>
    <col min="12290" max="12290" width="6.5546875" style="48" customWidth="1"/>
    <col min="12291" max="12291" width="10.33203125" style="48" bestFit="1" customWidth="1"/>
    <col min="12292" max="12292" width="14.33203125" style="48" customWidth="1"/>
    <col min="12293" max="12293" width="6" style="48" customWidth="1"/>
    <col min="12294" max="12295" width="14.6640625" style="48" customWidth="1"/>
    <col min="12296" max="12296" width="15.5546875" style="48" customWidth="1"/>
    <col min="12297" max="12297" width="12.21875" style="48" bestFit="1" customWidth="1"/>
    <col min="12298" max="12298" width="13.109375" style="48" bestFit="1" customWidth="1"/>
    <col min="12299" max="12299" width="10" style="48" bestFit="1" customWidth="1"/>
    <col min="12300" max="12300" width="9.21875" style="48" bestFit="1" customWidth="1"/>
    <col min="12301" max="12544" width="8.88671875" style="48"/>
    <col min="12545" max="12545" width="7.88671875" style="48" customWidth="1"/>
    <col min="12546" max="12546" width="6.5546875" style="48" customWidth="1"/>
    <col min="12547" max="12547" width="10.33203125" style="48" bestFit="1" customWidth="1"/>
    <col min="12548" max="12548" width="14.33203125" style="48" customWidth="1"/>
    <col min="12549" max="12549" width="6" style="48" customWidth="1"/>
    <col min="12550" max="12551" width="14.6640625" style="48" customWidth="1"/>
    <col min="12552" max="12552" width="15.5546875" style="48" customWidth="1"/>
    <col min="12553" max="12553" width="12.21875" style="48" bestFit="1" customWidth="1"/>
    <col min="12554" max="12554" width="13.109375" style="48" bestFit="1" customWidth="1"/>
    <col min="12555" max="12555" width="10" style="48" bestFit="1" customWidth="1"/>
    <col min="12556" max="12556" width="9.21875" style="48" bestFit="1" customWidth="1"/>
    <col min="12557" max="12800" width="8.88671875" style="48"/>
    <col min="12801" max="12801" width="7.88671875" style="48" customWidth="1"/>
    <col min="12802" max="12802" width="6.5546875" style="48" customWidth="1"/>
    <col min="12803" max="12803" width="10.33203125" style="48" bestFit="1" customWidth="1"/>
    <col min="12804" max="12804" width="14.33203125" style="48" customWidth="1"/>
    <col min="12805" max="12805" width="6" style="48" customWidth="1"/>
    <col min="12806" max="12807" width="14.6640625" style="48" customWidth="1"/>
    <col min="12808" max="12808" width="15.5546875" style="48" customWidth="1"/>
    <col min="12809" max="12809" width="12.21875" style="48" bestFit="1" customWidth="1"/>
    <col min="12810" max="12810" width="13.109375" style="48" bestFit="1" customWidth="1"/>
    <col min="12811" max="12811" width="10" style="48" bestFit="1" customWidth="1"/>
    <col min="12812" max="12812" width="9.21875" style="48" bestFit="1" customWidth="1"/>
    <col min="12813" max="13056" width="8.88671875" style="48"/>
    <col min="13057" max="13057" width="7.88671875" style="48" customWidth="1"/>
    <col min="13058" max="13058" width="6.5546875" style="48" customWidth="1"/>
    <col min="13059" max="13059" width="10.33203125" style="48" bestFit="1" customWidth="1"/>
    <col min="13060" max="13060" width="14.33203125" style="48" customWidth="1"/>
    <col min="13061" max="13061" width="6" style="48" customWidth="1"/>
    <col min="13062" max="13063" width="14.6640625" style="48" customWidth="1"/>
    <col min="13064" max="13064" width="15.5546875" style="48" customWidth="1"/>
    <col min="13065" max="13065" width="12.21875" style="48" bestFit="1" customWidth="1"/>
    <col min="13066" max="13066" width="13.109375" style="48" bestFit="1" customWidth="1"/>
    <col min="13067" max="13067" width="10" style="48" bestFit="1" customWidth="1"/>
    <col min="13068" max="13068" width="9.21875" style="48" bestFit="1" customWidth="1"/>
    <col min="13069" max="13312" width="8.88671875" style="48"/>
    <col min="13313" max="13313" width="7.88671875" style="48" customWidth="1"/>
    <col min="13314" max="13314" width="6.5546875" style="48" customWidth="1"/>
    <col min="13315" max="13315" width="10.33203125" style="48" bestFit="1" customWidth="1"/>
    <col min="13316" max="13316" width="14.33203125" style="48" customWidth="1"/>
    <col min="13317" max="13317" width="6" style="48" customWidth="1"/>
    <col min="13318" max="13319" width="14.6640625" style="48" customWidth="1"/>
    <col min="13320" max="13320" width="15.5546875" style="48" customWidth="1"/>
    <col min="13321" max="13321" width="12.21875" style="48" bestFit="1" customWidth="1"/>
    <col min="13322" max="13322" width="13.109375" style="48" bestFit="1" customWidth="1"/>
    <col min="13323" max="13323" width="10" style="48" bestFit="1" customWidth="1"/>
    <col min="13324" max="13324" width="9.21875" style="48" bestFit="1" customWidth="1"/>
    <col min="13325" max="13568" width="8.88671875" style="48"/>
    <col min="13569" max="13569" width="7.88671875" style="48" customWidth="1"/>
    <col min="13570" max="13570" width="6.5546875" style="48" customWidth="1"/>
    <col min="13571" max="13571" width="10.33203125" style="48" bestFit="1" customWidth="1"/>
    <col min="13572" max="13572" width="14.33203125" style="48" customWidth="1"/>
    <col min="13573" max="13573" width="6" style="48" customWidth="1"/>
    <col min="13574" max="13575" width="14.6640625" style="48" customWidth="1"/>
    <col min="13576" max="13576" width="15.5546875" style="48" customWidth="1"/>
    <col min="13577" max="13577" width="12.21875" style="48" bestFit="1" customWidth="1"/>
    <col min="13578" max="13578" width="13.109375" style="48" bestFit="1" customWidth="1"/>
    <col min="13579" max="13579" width="10" style="48" bestFit="1" customWidth="1"/>
    <col min="13580" max="13580" width="9.21875" style="48" bestFit="1" customWidth="1"/>
    <col min="13581" max="13824" width="8.88671875" style="48"/>
    <col min="13825" max="13825" width="7.88671875" style="48" customWidth="1"/>
    <col min="13826" max="13826" width="6.5546875" style="48" customWidth="1"/>
    <col min="13827" max="13827" width="10.33203125" style="48" bestFit="1" customWidth="1"/>
    <col min="13828" max="13828" width="14.33203125" style="48" customWidth="1"/>
    <col min="13829" max="13829" width="6" style="48" customWidth="1"/>
    <col min="13830" max="13831" width="14.6640625" style="48" customWidth="1"/>
    <col min="13832" max="13832" width="15.5546875" style="48" customWidth="1"/>
    <col min="13833" max="13833" width="12.21875" style="48" bestFit="1" customWidth="1"/>
    <col min="13834" max="13834" width="13.109375" style="48" bestFit="1" customWidth="1"/>
    <col min="13835" max="13835" width="10" style="48" bestFit="1" customWidth="1"/>
    <col min="13836" max="13836" width="9.21875" style="48" bestFit="1" customWidth="1"/>
    <col min="13837" max="14080" width="8.88671875" style="48"/>
    <col min="14081" max="14081" width="7.88671875" style="48" customWidth="1"/>
    <col min="14082" max="14082" width="6.5546875" style="48" customWidth="1"/>
    <col min="14083" max="14083" width="10.33203125" style="48" bestFit="1" customWidth="1"/>
    <col min="14084" max="14084" width="14.33203125" style="48" customWidth="1"/>
    <col min="14085" max="14085" width="6" style="48" customWidth="1"/>
    <col min="14086" max="14087" width="14.6640625" style="48" customWidth="1"/>
    <col min="14088" max="14088" width="15.5546875" style="48" customWidth="1"/>
    <col min="14089" max="14089" width="12.21875" style="48" bestFit="1" customWidth="1"/>
    <col min="14090" max="14090" width="13.109375" style="48" bestFit="1" customWidth="1"/>
    <col min="14091" max="14091" width="10" style="48" bestFit="1" customWidth="1"/>
    <col min="14092" max="14092" width="9.21875" style="48" bestFit="1" customWidth="1"/>
    <col min="14093" max="14336" width="8.88671875" style="48"/>
    <col min="14337" max="14337" width="7.88671875" style="48" customWidth="1"/>
    <col min="14338" max="14338" width="6.5546875" style="48" customWidth="1"/>
    <col min="14339" max="14339" width="10.33203125" style="48" bestFit="1" customWidth="1"/>
    <col min="14340" max="14340" width="14.33203125" style="48" customWidth="1"/>
    <col min="14341" max="14341" width="6" style="48" customWidth="1"/>
    <col min="14342" max="14343" width="14.6640625" style="48" customWidth="1"/>
    <col min="14344" max="14344" width="15.5546875" style="48" customWidth="1"/>
    <col min="14345" max="14345" width="12.21875" style="48" bestFit="1" customWidth="1"/>
    <col min="14346" max="14346" width="13.109375" style="48" bestFit="1" customWidth="1"/>
    <col min="14347" max="14347" width="10" style="48" bestFit="1" customWidth="1"/>
    <col min="14348" max="14348" width="9.21875" style="48" bestFit="1" customWidth="1"/>
    <col min="14349" max="14592" width="8.88671875" style="48"/>
    <col min="14593" max="14593" width="7.88671875" style="48" customWidth="1"/>
    <col min="14594" max="14594" width="6.5546875" style="48" customWidth="1"/>
    <col min="14595" max="14595" width="10.33203125" style="48" bestFit="1" customWidth="1"/>
    <col min="14596" max="14596" width="14.33203125" style="48" customWidth="1"/>
    <col min="14597" max="14597" width="6" style="48" customWidth="1"/>
    <col min="14598" max="14599" width="14.6640625" style="48" customWidth="1"/>
    <col min="14600" max="14600" width="15.5546875" style="48" customWidth="1"/>
    <col min="14601" max="14601" width="12.21875" style="48" bestFit="1" customWidth="1"/>
    <col min="14602" max="14602" width="13.109375" style="48" bestFit="1" customWidth="1"/>
    <col min="14603" max="14603" width="10" style="48" bestFit="1" customWidth="1"/>
    <col min="14604" max="14604" width="9.21875" style="48" bestFit="1" customWidth="1"/>
    <col min="14605" max="14848" width="8.88671875" style="48"/>
    <col min="14849" max="14849" width="7.88671875" style="48" customWidth="1"/>
    <col min="14850" max="14850" width="6.5546875" style="48" customWidth="1"/>
    <col min="14851" max="14851" width="10.33203125" style="48" bestFit="1" customWidth="1"/>
    <col min="14852" max="14852" width="14.33203125" style="48" customWidth="1"/>
    <col min="14853" max="14853" width="6" style="48" customWidth="1"/>
    <col min="14854" max="14855" width="14.6640625" style="48" customWidth="1"/>
    <col min="14856" max="14856" width="15.5546875" style="48" customWidth="1"/>
    <col min="14857" max="14857" width="12.21875" style="48" bestFit="1" customWidth="1"/>
    <col min="14858" max="14858" width="13.109375" style="48" bestFit="1" customWidth="1"/>
    <col min="14859" max="14859" width="10" style="48" bestFit="1" customWidth="1"/>
    <col min="14860" max="14860" width="9.21875" style="48" bestFit="1" customWidth="1"/>
    <col min="14861" max="15104" width="8.88671875" style="48"/>
    <col min="15105" max="15105" width="7.88671875" style="48" customWidth="1"/>
    <col min="15106" max="15106" width="6.5546875" style="48" customWidth="1"/>
    <col min="15107" max="15107" width="10.33203125" style="48" bestFit="1" customWidth="1"/>
    <col min="15108" max="15108" width="14.33203125" style="48" customWidth="1"/>
    <col min="15109" max="15109" width="6" style="48" customWidth="1"/>
    <col min="15110" max="15111" width="14.6640625" style="48" customWidth="1"/>
    <col min="15112" max="15112" width="15.5546875" style="48" customWidth="1"/>
    <col min="15113" max="15113" width="12.21875" style="48" bestFit="1" customWidth="1"/>
    <col min="15114" max="15114" width="13.109375" style="48" bestFit="1" customWidth="1"/>
    <col min="15115" max="15115" width="10" style="48" bestFit="1" customWidth="1"/>
    <col min="15116" max="15116" width="9.21875" style="48" bestFit="1" customWidth="1"/>
    <col min="15117" max="15360" width="8.88671875" style="48"/>
    <col min="15361" max="15361" width="7.88671875" style="48" customWidth="1"/>
    <col min="15362" max="15362" width="6.5546875" style="48" customWidth="1"/>
    <col min="15363" max="15363" width="10.33203125" style="48" bestFit="1" customWidth="1"/>
    <col min="15364" max="15364" width="14.33203125" style="48" customWidth="1"/>
    <col min="15365" max="15365" width="6" style="48" customWidth="1"/>
    <col min="15366" max="15367" width="14.6640625" style="48" customWidth="1"/>
    <col min="15368" max="15368" width="15.5546875" style="48" customWidth="1"/>
    <col min="15369" max="15369" width="12.21875" style="48" bestFit="1" customWidth="1"/>
    <col min="15370" max="15370" width="13.109375" style="48" bestFit="1" customWidth="1"/>
    <col min="15371" max="15371" width="10" style="48" bestFit="1" customWidth="1"/>
    <col min="15372" max="15372" width="9.21875" style="48" bestFit="1" customWidth="1"/>
    <col min="15373" max="15616" width="8.88671875" style="48"/>
    <col min="15617" max="15617" width="7.88671875" style="48" customWidth="1"/>
    <col min="15618" max="15618" width="6.5546875" style="48" customWidth="1"/>
    <col min="15619" max="15619" width="10.33203125" style="48" bestFit="1" customWidth="1"/>
    <col min="15620" max="15620" width="14.33203125" style="48" customWidth="1"/>
    <col min="15621" max="15621" width="6" style="48" customWidth="1"/>
    <col min="15622" max="15623" width="14.6640625" style="48" customWidth="1"/>
    <col min="15624" max="15624" width="15.5546875" style="48" customWidth="1"/>
    <col min="15625" max="15625" width="12.21875" style="48" bestFit="1" customWidth="1"/>
    <col min="15626" max="15626" width="13.109375" style="48" bestFit="1" customWidth="1"/>
    <col min="15627" max="15627" width="10" style="48" bestFit="1" customWidth="1"/>
    <col min="15628" max="15628" width="9.21875" style="48" bestFit="1" customWidth="1"/>
    <col min="15629" max="15872" width="8.88671875" style="48"/>
    <col min="15873" max="15873" width="7.88671875" style="48" customWidth="1"/>
    <col min="15874" max="15874" width="6.5546875" style="48" customWidth="1"/>
    <col min="15875" max="15875" width="10.33203125" style="48" bestFit="1" customWidth="1"/>
    <col min="15876" max="15876" width="14.33203125" style="48" customWidth="1"/>
    <col min="15877" max="15877" width="6" style="48" customWidth="1"/>
    <col min="15878" max="15879" width="14.6640625" style="48" customWidth="1"/>
    <col min="15880" max="15880" width="15.5546875" style="48" customWidth="1"/>
    <col min="15881" max="15881" width="12.21875" style="48" bestFit="1" customWidth="1"/>
    <col min="15882" max="15882" width="13.109375" style="48" bestFit="1" customWidth="1"/>
    <col min="15883" max="15883" width="10" style="48" bestFit="1" customWidth="1"/>
    <col min="15884" max="15884" width="9.21875" style="48" bestFit="1" customWidth="1"/>
    <col min="15885" max="16128" width="8.88671875" style="48"/>
    <col min="16129" max="16129" width="7.88671875" style="48" customWidth="1"/>
    <col min="16130" max="16130" width="6.5546875" style="48" customWidth="1"/>
    <col min="16131" max="16131" width="10.33203125" style="48" bestFit="1" customWidth="1"/>
    <col min="16132" max="16132" width="14.33203125" style="48" customWidth="1"/>
    <col min="16133" max="16133" width="6" style="48" customWidth="1"/>
    <col min="16134" max="16135" width="14.6640625" style="48" customWidth="1"/>
    <col min="16136" max="16136" width="15.5546875" style="48" customWidth="1"/>
    <col min="16137" max="16137" width="12.21875" style="48" bestFit="1" customWidth="1"/>
    <col min="16138" max="16138" width="13.109375" style="48" bestFit="1" customWidth="1"/>
    <col min="16139" max="16139" width="10" style="48" bestFit="1" customWidth="1"/>
    <col min="16140" max="16140" width="9.21875" style="48" bestFit="1" customWidth="1"/>
    <col min="16141" max="16384" width="8.88671875" style="48"/>
  </cols>
  <sheetData>
    <row r="1" spans="1:12" ht="20.100000000000001" customHeight="1">
      <c r="A1" s="47" t="s">
        <v>527</v>
      </c>
    </row>
    <row r="2" spans="1:12" ht="25.5" customHeight="1">
      <c r="A2" s="665" t="s">
        <v>528</v>
      </c>
      <c r="B2" s="665"/>
      <c r="C2" s="665"/>
      <c r="D2" s="665"/>
      <c r="E2" s="665"/>
      <c r="F2" s="665"/>
      <c r="G2" s="665"/>
      <c r="H2" s="665"/>
    </row>
    <row r="3" spans="1:12" ht="21" customHeight="1">
      <c r="A3" s="49"/>
      <c r="B3" s="49"/>
      <c r="C3" s="49"/>
      <c r="D3" s="49"/>
      <c r="E3" s="108"/>
      <c r="F3" s="49"/>
      <c r="G3" s="49"/>
      <c r="H3" s="50" t="s">
        <v>529</v>
      </c>
    </row>
    <row r="4" spans="1:12" s="52" customFormat="1" ht="22.9" customHeight="1">
      <c r="A4" s="666" t="s">
        <v>530</v>
      </c>
      <c r="B4" s="666"/>
      <c r="C4" s="666"/>
      <c r="D4" s="517" t="s">
        <v>531</v>
      </c>
      <c r="E4" s="109" t="s">
        <v>532</v>
      </c>
      <c r="F4" s="517" t="s">
        <v>533</v>
      </c>
      <c r="G4" s="517" t="s">
        <v>534</v>
      </c>
      <c r="H4" s="517" t="s">
        <v>535</v>
      </c>
    </row>
    <row r="5" spans="1:12" s="52" customFormat="1" ht="22.9" customHeight="1">
      <c r="A5" s="661" t="s">
        <v>536</v>
      </c>
      <c r="B5" s="661" t="s">
        <v>537</v>
      </c>
      <c r="C5" s="516" t="s">
        <v>538</v>
      </c>
      <c r="D5" s="56">
        <f>'2.산출총괄표(건축)'!D8</f>
        <v>3491560</v>
      </c>
      <c r="E5" s="110">
        <f ca="1">D5/$D$24</f>
        <v>2.0501093905245484E-2</v>
      </c>
      <c r="F5" s="56">
        <f>+D5</f>
        <v>3491560</v>
      </c>
      <c r="G5" s="56">
        <f>'2.산출총괄표(건축)'!G8</f>
        <v>0</v>
      </c>
      <c r="H5" s="516"/>
    </row>
    <row r="6" spans="1:12" s="52" customFormat="1" ht="22.9" customHeight="1">
      <c r="A6" s="661"/>
      <c r="B6" s="661"/>
      <c r="C6" s="516" t="s">
        <v>539</v>
      </c>
      <c r="D6" s="56">
        <f>'2.산출총괄표(건축)'!D5</f>
        <v>4015294</v>
      </c>
      <c r="E6" s="110">
        <f t="shared" ref="E6:E23" ca="1" si="0">D6/$D$24</f>
        <v>2.3576257991032308E-2</v>
      </c>
      <c r="F6" s="516"/>
      <c r="G6" s="56">
        <f>'2.산출총괄표(건축)'!G5</f>
        <v>0</v>
      </c>
      <c r="H6" s="56">
        <f>+D6</f>
        <v>4015294</v>
      </c>
    </row>
    <row r="7" spans="1:12" s="52" customFormat="1" ht="22.9" customHeight="1">
      <c r="A7" s="661"/>
      <c r="B7" s="661"/>
      <c r="C7" s="516" t="s">
        <v>540</v>
      </c>
      <c r="D7" s="56">
        <f>'2.산출총괄표(건축)'!D6</f>
        <v>32296931</v>
      </c>
      <c r="E7" s="523">
        <f t="shared" ca="1" si="0"/>
        <v>0.18963512449513512</v>
      </c>
      <c r="F7" s="516"/>
      <c r="G7" s="56">
        <f>'2.산출총괄표(건축)'!G6</f>
        <v>0</v>
      </c>
      <c r="H7" s="56">
        <f t="shared" ref="H7:H10" si="1">+D7</f>
        <v>32296931</v>
      </c>
    </row>
    <row r="8" spans="1:12" s="52" customFormat="1" ht="22.9" customHeight="1">
      <c r="A8" s="661"/>
      <c r="B8" s="661"/>
      <c r="C8" s="516" t="s">
        <v>541</v>
      </c>
      <c r="D8" s="56">
        <f>'2.산출총괄표(건축)'!D7</f>
        <v>5935651</v>
      </c>
      <c r="E8" s="110">
        <f t="shared" ca="1" si="0"/>
        <v>3.4851853767302945E-2</v>
      </c>
      <c r="F8" s="516"/>
      <c r="G8" s="56">
        <f>'2.산출총괄표(건축)'!G7</f>
        <v>0</v>
      </c>
      <c r="H8" s="56">
        <f t="shared" si="1"/>
        <v>5935651</v>
      </c>
      <c r="K8" s="55"/>
    </row>
    <row r="9" spans="1:12" s="52" customFormat="1" ht="22.9" customHeight="1">
      <c r="A9" s="661"/>
      <c r="B9" s="661"/>
      <c r="C9" s="516" t="s">
        <v>542</v>
      </c>
      <c r="D9" s="56">
        <f>'2.산출총괄표(건축)'!D9</f>
        <v>1920358</v>
      </c>
      <c r="E9" s="110">
        <f t="shared" ca="1" si="0"/>
        <v>1.1275601647885016E-2</v>
      </c>
      <c r="F9" s="56">
        <f>'2.산출총괄표(건축)'!F9</f>
        <v>0</v>
      </c>
      <c r="G9" s="56">
        <f>'2.산출총괄표(건축)'!G9</f>
        <v>0</v>
      </c>
      <c r="H9" s="56">
        <f t="shared" si="1"/>
        <v>1920358</v>
      </c>
      <c r="K9" s="55"/>
    </row>
    <row r="10" spans="1:12" s="52" customFormat="1" ht="22.9" customHeight="1">
      <c r="A10" s="661"/>
      <c r="B10" s="661"/>
      <c r="C10" s="516" t="s">
        <v>543</v>
      </c>
      <c r="D10" s="497">
        <f>'2.산출총괄표(건축)'!D10</f>
        <v>2496466</v>
      </c>
      <c r="E10" s="498">
        <f t="shared" ca="1" si="0"/>
        <v>1.4658285665219149E-2</v>
      </c>
      <c r="F10" s="497">
        <f>'2.산출총괄표(건축)'!F10</f>
        <v>0</v>
      </c>
      <c r="G10" s="497">
        <f>'2.산출총괄표(건축)'!G10</f>
        <v>0</v>
      </c>
      <c r="H10" s="56">
        <f t="shared" si="1"/>
        <v>2496466</v>
      </c>
      <c r="K10" s="55"/>
    </row>
    <row r="11" spans="1:12" s="52" customFormat="1" ht="22.9" customHeight="1">
      <c r="A11" s="661"/>
      <c r="B11" s="662"/>
      <c r="C11" s="533" t="s">
        <v>544</v>
      </c>
      <c r="D11" s="56">
        <f>SUM(D5:D10)</f>
        <v>50156260</v>
      </c>
      <c r="E11" s="523">
        <f t="shared" ca="1" si="0"/>
        <v>0.29449821747182003</v>
      </c>
      <c r="F11" s="56">
        <f>SUM(F5:F10)</f>
        <v>3491560</v>
      </c>
      <c r="G11" s="56">
        <f>SUM(G5:G10)</f>
        <v>0</v>
      </c>
      <c r="H11" s="56">
        <f>SUM(H5:H10)</f>
        <v>46664700</v>
      </c>
    </row>
    <row r="12" spans="1:12" s="52" customFormat="1" ht="22.9" customHeight="1">
      <c r="A12" s="661"/>
      <c r="B12" s="661" t="s">
        <v>545</v>
      </c>
      <c r="C12" s="661"/>
      <c r="D12" s="56">
        <f>'2.산출총괄표(건축)'!D12</f>
        <v>6756169</v>
      </c>
      <c r="E12" s="110">
        <f t="shared" ca="1" si="0"/>
        <v>3.9669619055295764E-2</v>
      </c>
      <c r="F12" s="56">
        <f>ROUND(F11*$I$12,0)</f>
        <v>470322</v>
      </c>
      <c r="G12" s="56">
        <f>ROUND(G11*$I$12,0)</f>
        <v>0</v>
      </c>
      <c r="H12" s="56">
        <f>ROUND(H11*$I$12,0)</f>
        <v>6285847</v>
      </c>
      <c r="I12" s="72">
        <f>D12/D11</f>
        <v>0.13470240803441086</v>
      </c>
    </row>
    <row r="13" spans="1:12" s="52" customFormat="1" ht="22.9" customHeight="1">
      <c r="A13" s="661"/>
      <c r="B13" s="661" t="s">
        <v>546</v>
      </c>
      <c r="C13" s="661"/>
      <c r="D13" s="56">
        <f>'2.산출총괄표(건축)'!D13</f>
        <v>1280239</v>
      </c>
      <c r="E13" s="110">
        <f t="shared" ca="1" si="0"/>
        <v>7.5170697224614712E-3</v>
      </c>
      <c r="F13" s="56">
        <f>ROUND(F11*$I$13,0)</f>
        <v>89122</v>
      </c>
      <c r="G13" s="56">
        <f>ROUND(G11*$I$13,0)</f>
        <v>0</v>
      </c>
      <c r="H13" s="56">
        <f>ROUND(H11*$I$13,0)</f>
        <v>1191117</v>
      </c>
      <c r="I13" s="72">
        <f>D13/D11</f>
        <v>2.5525009241119653E-2</v>
      </c>
    </row>
    <row r="14" spans="1:12" s="52" customFormat="1" ht="22.9" customHeight="1">
      <c r="A14" s="662"/>
      <c r="B14" s="664" t="s">
        <v>547</v>
      </c>
      <c r="C14" s="661"/>
      <c r="D14" s="56">
        <f>SUM(D11:D13)</f>
        <v>58192668</v>
      </c>
      <c r="E14" s="523">
        <f t="shared" ca="1" si="0"/>
        <v>0.34168490624957726</v>
      </c>
      <c r="F14" s="56">
        <f>SUM(F11:F13)</f>
        <v>4051004</v>
      </c>
      <c r="G14" s="56">
        <f>G11+G12+G13</f>
        <v>0</v>
      </c>
      <c r="H14" s="56">
        <f>SUM(H11:H13)</f>
        <v>54141664</v>
      </c>
      <c r="I14" s="315">
        <f>SUM(F14:H14)</f>
        <v>58192668</v>
      </c>
      <c r="J14" s="84"/>
      <c r="K14" s="104"/>
      <c r="L14" s="84"/>
    </row>
    <row r="15" spans="1:12" s="52" customFormat="1" ht="22.9" customHeight="1">
      <c r="A15" s="661" t="s">
        <v>548</v>
      </c>
      <c r="B15" s="661" t="s">
        <v>549</v>
      </c>
      <c r="C15" s="661"/>
      <c r="D15" s="56">
        <f>'2.산출총괄표(건축)'!D15</f>
        <v>689075</v>
      </c>
      <c r="E15" s="110">
        <f t="shared" ca="1" si="0"/>
        <v>4.0459826790194163E-3</v>
      </c>
      <c r="F15" s="56">
        <f>'2.산출총괄표(건축)'!F15</f>
        <v>0</v>
      </c>
      <c r="G15" s="56">
        <f>+D15</f>
        <v>689075</v>
      </c>
      <c r="H15" s="56">
        <f>'2.산출총괄표(건축)'!H15</f>
        <v>0</v>
      </c>
      <c r="J15" s="85"/>
      <c r="K15" s="499"/>
      <c r="L15" s="85"/>
    </row>
    <row r="16" spans="1:12" s="52" customFormat="1" ht="22.9" customHeight="1">
      <c r="A16" s="661"/>
      <c r="B16" s="661" t="s">
        <v>550</v>
      </c>
      <c r="C16" s="661"/>
      <c r="D16" s="56">
        <f ca="1">'2.산출총괄표(건축)'!D16</f>
        <v>1729573</v>
      </c>
      <c r="E16" s="110">
        <f t="shared" ca="1" si="0"/>
        <v>1.0155385698363238E-2</v>
      </c>
      <c r="G16" s="56">
        <f>'1.전기감리비산출금액'!G29/1000</f>
        <v>400857.82699999999</v>
      </c>
      <c r="H16" s="56">
        <f ca="1">D16-G16</f>
        <v>1328715.173</v>
      </c>
      <c r="I16" s="55"/>
      <c r="J16" s="85"/>
      <c r="K16" s="499"/>
      <c r="L16" s="84"/>
    </row>
    <row r="17" spans="1:12" s="52" customFormat="1" ht="22.9" customHeight="1">
      <c r="A17" s="661"/>
      <c r="B17" s="661" t="s">
        <v>551</v>
      </c>
      <c r="C17" s="661"/>
      <c r="D17" s="56">
        <f>'2.산출총괄표(건축)'!D17</f>
        <v>35423099</v>
      </c>
      <c r="E17" s="523">
        <f t="shared" ca="1" si="0"/>
        <v>0.2079907774787795</v>
      </c>
      <c r="F17" s="56">
        <f>'2.산출총괄표(건축)'!F17</f>
        <v>0</v>
      </c>
      <c r="G17" s="56">
        <f>+D17</f>
        <v>35423099</v>
      </c>
      <c r="H17" s="56">
        <f>'2.산출총괄표(건축)'!H17</f>
        <v>0</v>
      </c>
      <c r="I17" s="55"/>
      <c r="J17" s="86"/>
      <c r="K17" s="499"/>
      <c r="L17" s="84"/>
    </row>
    <row r="18" spans="1:12" s="52" customFormat="1" ht="22.9" customHeight="1">
      <c r="A18" s="661"/>
      <c r="B18" s="661" t="s">
        <v>552</v>
      </c>
      <c r="C18" s="661"/>
      <c r="D18" s="56">
        <f>'2.산출총괄표(건축)'!D18</f>
        <v>22323472</v>
      </c>
      <c r="E18" s="110">
        <f t="shared" ca="1" si="0"/>
        <v>0.13107481921064459</v>
      </c>
      <c r="F18" s="56">
        <f>'2.산출총괄표(건축)'!F18</f>
        <v>0</v>
      </c>
      <c r="G18" s="56">
        <f>+D18</f>
        <v>22323472</v>
      </c>
      <c r="H18" s="56">
        <f>'2.산출총괄표(건축)'!H18</f>
        <v>0</v>
      </c>
      <c r="J18" s="86"/>
      <c r="K18" s="84"/>
      <c r="L18" s="84"/>
    </row>
    <row r="19" spans="1:12" s="52" customFormat="1" ht="22.9" customHeight="1">
      <c r="A19" s="661"/>
      <c r="B19" s="661" t="s">
        <v>553</v>
      </c>
      <c r="C19" s="661"/>
      <c r="D19" s="56">
        <f>'2.산출총괄표(건축)'!D19</f>
        <v>0</v>
      </c>
      <c r="E19" s="110">
        <f t="shared" ca="1" si="0"/>
        <v>0</v>
      </c>
      <c r="F19" s="56">
        <f>'2.산출총괄표(건축)'!F19</f>
        <v>0</v>
      </c>
      <c r="G19" s="56">
        <f>+D19</f>
        <v>0</v>
      </c>
      <c r="H19" s="56">
        <f>'2.산출총괄표(건축)'!H19</f>
        <v>0</v>
      </c>
      <c r="J19" s="84"/>
      <c r="K19" s="84"/>
      <c r="L19" s="84"/>
    </row>
    <row r="20" spans="1:12" s="52" customFormat="1" ht="22.9" customHeight="1">
      <c r="A20" s="661"/>
      <c r="B20" s="661" t="s">
        <v>554</v>
      </c>
      <c r="C20" s="661"/>
      <c r="D20" s="56">
        <f>'2.산출총괄표(건축)'!D20</f>
        <v>2935158</v>
      </c>
      <c r="E20" s="110">
        <f t="shared" ca="1" si="0"/>
        <v>1.723411592088709E-2</v>
      </c>
      <c r="F20" s="56">
        <f>'2.산출총괄표(건축)'!F20</f>
        <v>0</v>
      </c>
      <c r="G20" s="56">
        <f>+D20</f>
        <v>2935158</v>
      </c>
      <c r="H20" s="56">
        <f>'2.산출총괄표(건축)'!H20</f>
        <v>0</v>
      </c>
    </row>
    <row r="21" spans="1:12" s="52" customFormat="1" ht="22.9" customHeight="1">
      <c r="A21" s="662"/>
      <c r="B21" s="664" t="s">
        <v>555</v>
      </c>
      <c r="C21" s="661"/>
      <c r="D21" s="56">
        <f ca="1">SUM(D15:D20)</f>
        <v>63100377</v>
      </c>
      <c r="E21" s="523">
        <f t="shared" ca="1" si="0"/>
        <v>0.37050108098769385</v>
      </c>
      <c r="F21" s="56">
        <f>SUM(F15:F20)</f>
        <v>0</v>
      </c>
      <c r="G21" s="56">
        <f>SUM(G15:G20)</f>
        <v>61771661.827</v>
      </c>
      <c r="H21" s="56">
        <f ca="1">SUM(H15:H20)</f>
        <v>1328715.173</v>
      </c>
    </row>
    <row r="22" spans="1:12" s="52" customFormat="1" ht="22.9" customHeight="1">
      <c r="A22" s="661" t="s">
        <v>556</v>
      </c>
      <c r="B22" s="661"/>
      <c r="C22" s="661"/>
      <c r="D22" s="56">
        <f>'2.산출총괄표(건축)'!D22</f>
        <v>44912968</v>
      </c>
      <c r="E22" s="523">
        <f t="shared" ca="1" si="0"/>
        <v>0.26371162876516097</v>
      </c>
      <c r="F22" s="56">
        <f>'2.산출총괄표(건축)'!F22</f>
        <v>0</v>
      </c>
      <c r="G22" s="56">
        <f>+D22</f>
        <v>44912968</v>
      </c>
      <c r="H22" s="56">
        <f>'2.산출총괄표(건축)'!H22</f>
        <v>0</v>
      </c>
    </row>
    <row r="23" spans="1:12" s="52" customFormat="1" ht="22.9" customHeight="1">
      <c r="A23" s="661" t="s">
        <v>557</v>
      </c>
      <c r="B23" s="661"/>
      <c r="C23" s="661"/>
      <c r="D23" s="56">
        <f>'2.산출총괄표(건축)'!D23</f>
        <v>4104899</v>
      </c>
      <c r="E23" s="110">
        <f t="shared" ca="1" si="0"/>
        <v>2.4102383997567929E-2</v>
      </c>
      <c r="F23" s="56">
        <f>'2.산출총괄표(건축)'!F23</f>
        <v>0</v>
      </c>
      <c r="G23" s="56">
        <f>+D23</f>
        <v>4104899</v>
      </c>
      <c r="H23" s="56">
        <f>'2.산출총괄표(건축)'!H23</f>
        <v>0</v>
      </c>
    </row>
    <row r="24" spans="1:12" s="52" customFormat="1" ht="22.9" customHeight="1">
      <c r="A24" s="661" t="s">
        <v>558</v>
      </c>
      <c r="B24" s="661"/>
      <c r="C24" s="661"/>
      <c r="D24" s="56">
        <f ca="1">D14+D21+D22+D23</f>
        <v>170310912</v>
      </c>
      <c r="E24" s="524">
        <f>'[22]산출총괄표(건축)'!E24</f>
        <v>1</v>
      </c>
      <c r="F24" s="56">
        <f>F14+F21+F22+F23</f>
        <v>4051004</v>
      </c>
      <c r="G24" s="56">
        <f>G14+G21+G22+G23</f>
        <v>110789528.82699999</v>
      </c>
      <c r="H24" s="56">
        <f ca="1">H14+H21+H22+H23</f>
        <v>55470379.173</v>
      </c>
      <c r="I24" s="86"/>
    </row>
    <row r="25" spans="1:12" s="52" customFormat="1" ht="22.9" customHeight="1">
      <c r="A25" s="57" t="s">
        <v>559</v>
      </c>
      <c r="E25" s="78"/>
      <c r="J25" s="58"/>
    </row>
    <row r="26" spans="1:12" s="52" customFormat="1" ht="22.9" customHeight="1">
      <c r="A26" s="57" t="s">
        <v>560</v>
      </c>
      <c r="E26" s="78"/>
      <c r="J26" s="106"/>
    </row>
    <row r="27" spans="1:12" s="52" customFormat="1" ht="22.9" customHeight="1">
      <c r="A27" s="57" t="s">
        <v>561</v>
      </c>
      <c r="E27" s="78"/>
      <c r="J27" s="55"/>
    </row>
    <row r="28" spans="1:12" s="52" customFormat="1" ht="22.9" customHeight="1">
      <c r="A28" s="57" t="s">
        <v>562</v>
      </c>
      <c r="E28" s="78"/>
    </row>
    <row r="29" spans="1:12" s="52" customFormat="1" ht="22.9" customHeight="1">
      <c r="A29" s="57" t="s">
        <v>563</v>
      </c>
      <c r="E29" s="78"/>
    </row>
    <row r="30" spans="1:12" s="52" customFormat="1" ht="22.9" customHeight="1">
      <c r="A30" s="57" t="s">
        <v>564</v>
      </c>
      <c r="E30" s="78"/>
    </row>
    <row r="31" spans="1:12" s="52" customFormat="1" ht="22.9" customHeight="1">
      <c r="A31" s="57" t="s">
        <v>565</v>
      </c>
      <c r="E31" s="78"/>
    </row>
    <row r="32" spans="1:12" s="52" customFormat="1" ht="22.9" customHeight="1">
      <c r="A32" s="57" t="s">
        <v>566</v>
      </c>
      <c r="E32" s="78"/>
    </row>
    <row r="33" spans="1:5" s="52" customFormat="1" ht="22.9" customHeight="1">
      <c r="A33" s="57" t="s">
        <v>567</v>
      </c>
      <c r="E33" s="78"/>
    </row>
    <row r="34" spans="1:5" s="52" customFormat="1" ht="22.9" customHeight="1">
      <c r="A34" s="57" t="s">
        <v>568</v>
      </c>
      <c r="E34" s="78"/>
    </row>
    <row r="35" spans="1:5" s="52" customFormat="1" ht="22.9" customHeight="1">
      <c r="A35" s="57" t="s">
        <v>569</v>
      </c>
      <c r="E35" s="78"/>
    </row>
    <row r="36" spans="1:5" s="52" customFormat="1" ht="21" customHeight="1">
      <c r="A36" s="57"/>
      <c r="E36" s="78"/>
    </row>
    <row r="37" spans="1:5" s="52" customFormat="1" ht="21" customHeight="1">
      <c r="A37" s="57"/>
      <c r="E37" s="78"/>
    </row>
    <row r="38" spans="1:5" s="52" customFormat="1" ht="20.100000000000001" customHeight="1">
      <c r="E38" s="78"/>
    </row>
    <row r="39" spans="1:5" s="52" customFormat="1" ht="20.100000000000001" customHeight="1">
      <c r="E39" s="78"/>
    </row>
    <row r="40" spans="1:5" s="52" customFormat="1" ht="20.100000000000001" customHeight="1">
      <c r="E40" s="78"/>
    </row>
    <row r="41" spans="1:5" s="52" customFormat="1" ht="20.100000000000001" customHeight="1">
      <c r="E41" s="78"/>
    </row>
    <row r="42" spans="1:5" s="52" customFormat="1" ht="20.100000000000001" customHeight="1">
      <c r="E42" s="78"/>
    </row>
    <row r="43" spans="1:5" s="52" customFormat="1" ht="20.100000000000001" customHeight="1">
      <c r="E43" s="78"/>
    </row>
    <row r="44" spans="1:5" s="52" customFormat="1" ht="20.100000000000001" customHeight="1">
      <c r="E44" s="78"/>
    </row>
    <row r="45" spans="1:5" s="52" customFormat="1" ht="20.100000000000001" customHeight="1">
      <c r="E45" s="78"/>
    </row>
    <row r="46" spans="1:5" s="52" customFormat="1" ht="20.100000000000001" customHeight="1">
      <c r="E46" s="78"/>
    </row>
    <row r="47" spans="1:5" s="52" customFormat="1" ht="20.100000000000001" customHeight="1">
      <c r="E47" s="78"/>
    </row>
    <row r="48" spans="1:5" s="52" customFormat="1" ht="20.100000000000001" customHeight="1">
      <c r="E48" s="78"/>
    </row>
    <row r="49" spans="5:5" s="52" customFormat="1" ht="20.100000000000001" customHeight="1">
      <c r="E49" s="78"/>
    </row>
    <row r="50" spans="5:5" s="52" customFormat="1" ht="20.100000000000001" customHeight="1">
      <c r="E50" s="78"/>
    </row>
    <row r="51" spans="5:5" s="52" customFormat="1" ht="20.100000000000001" customHeight="1">
      <c r="E51" s="78"/>
    </row>
  </sheetData>
  <mergeCells count="18">
    <mergeCell ref="A2:H2"/>
    <mergeCell ref="A4:C4"/>
    <mergeCell ref="A5:A14"/>
    <mergeCell ref="B5:B11"/>
    <mergeCell ref="B12:C12"/>
    <mergeCell ref="B13:C13"/>
    <mergeCell ref="B14:C14"/>
    <mergeCell ref="A22:C22"/>
    <mergeCell ref="A23:C23"/>
    <mergeCell ref="A24:C24"/>
    <mergeCell ref="A15:A21"/>
    <mergeCell ref="B15:C15"/>
    <mergeCell ref="B16:C16"/>
    <mergeCell ref="B17:C17"/>
    <mergeCell ref="B18:C18"/>
    <mergeCell ref="B19:C19"/>
    <mergeCell ref="B20:C20"/>
    <mergeCell ref="B21:C21"/>
  </mergeCells>
  <phoneticPr fontId="3" type="noConversion"/>
  <pageMargins left="0.21" right="0.24" top="0.67" bottom="0.47" header="0.5" footer="0.38"/>
  <pageSetup paperSize="9" scale="94" orientation="portrait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C000"/>
  </sheetPr>
  <dimension ref="A1:K81"/>
  <sheetViews>
    <sheetView view="pageBreakPreview" topLeftCell="A52" workbookViewId="0">
      <selection activeCell="S65" sqref="S65"/>
    </sheetView>
  </sheetViews>
  <sheetFormatPr defaultRowHeight="20.100000000000001" customHeight="1"/>
  <cols>
    <col min="1" max="1" width="8.33203125" style="48" customWidth="1"/>
    <col min="2" max="2" width="7.88671875" style="48" customWidth="1"/>
    <col min="3" max="3" width="16.5546875" style="48" bestFit="1" customWidth="1"/>
    <col min="4" max="5" width="13.33203125" style="48" customWidth="1"/>
    <col min="6" max="6" width="12.88671875" style="48" customWidth="1"/>
    <col min="7" max="7" width="13.21875" style="48" customWidth="1"/>
    <col min="8" max="8" width="12.21875" style="335" hidden="1" customWidth="1"/>
    <col min="9" max="9" width="12.109375" style="48" hidden="1" customWidth="1"/>
    <col min="10" max="10" width="0" style="48" hidden="1" customWidth="1"/>
    <col min="11" max="11" width="9.109375" style="48" hidden="1" customWidth="1"/>
    <col min="12" max="13" width="0" style="48" hidden="1" customWidth="1"/>
    <col min="14" max="256" width="8.88671875" style="48"/>
    <col min="257" max="257" width="8.33203125" style="48" customWidth="1"/>
    <col min="258" max="258" width="7.88671875" style="48" customWidth="1"/>
    <col min="259" max="259" width="16.5546875" style="48" bestFit="1" customWidth="1"/>
    <col min="260" max="261" width="13.33203125" style="48" customWidth="1"/>
    <col min="262" max="262" width="12.88671875" style="48" customWidth="1"/>
    <col min="263" max="263" width="13.21875" style="48" customWidth="1"/>
    <col min="264" max="264" width="12.21875" style="48" bestFit="1" customWidth="1"/>
    <col min="265" max="265" width="12.109375" style="48" bestFit="1" customWidth="1"/>
    <col min="266" max="266" width="8.88671875" style="48"/>
    <col min="267" max="267" width="9.109375" style="48" bestFit="1" customWidth="1"/>
    <col min="268" max="512" width="8.88671875" style="48"/>
    <col min="513" max="513" width="8.33203125" style="48" customWidth="1"/>
    <col min="514" max="514" width="7.88671875" style="48" customWidth="1"/>
    <col min="515" max="515" width="16.5546875" style="48" bestFit="1" customWidth="1"/>
    <col min="516" max="517" width="13.33203125" style="48" customWidth="1"/>
    <col min="518" max="518" width="12.88671875" style="48" customWidth="1"/>
    <col min="519" max="519" width="13.21875" style="48" customWidth="1"/>
    <col min="520" max="520" width="12.21875" style="48" bestFit="1" customWidth="1"/>
    <col min="521" max="521" width="12.109375" style="48" bestFit="1" customWidth="1"/>
    <col min="522" max="522" width="8.88671875" style="48"/>
    <col min="523" max="523" width="9.109375" style="48" bestFit="1" customWidth="1"/>
    <col min="524" max="768" width="8.88671875" style="48"/>
    <col min="769" max="769" width="8.33203125" style="48" customWidth="1"/>
    <col min="770" max="770" width="7.88671875" style="48" customWidth="1"/>
    <col min="771" max="771" width="16.5546875" style="48" bestFit="1" customWidth="1"/>
    <col min="772" max="773" width="13.33203125" style="48" customWidth="1"/>
    <col min="774" max="774" width="12.88671875" style="48" customWidth="1"/>
    <col min="775" max="775" width="13.21875" style="48" customWidth="1"/>
    <col min="776" max="776" width="12.21875" style="48" bestFit="1" customWidth="1"/>
    <col min="777" max="777" width="12.109375" style="48" bestFit="1" customWidth="1"/>
    <col min="778" max="778" width="8.88671875" style="48"/>
    <col min="779" max="779" width="9.109375" style="48" bestFit="1" customWidth="1"/>
    <col min="780" max="1024" width="8.88671875" style="48"/>
    <col min="1025" max="1025" width="8.33203125" style="48" customWidth="1"/>
    <col min="1026" max="1026" width="7.88671875" style="48" customWidth="1"/>
    <col min="1027" max="1027" width="16.5546875" style="48" bestFit="1" customWidth="1"/>
    <col min="1028" max="1029" width="13.33203125" style="48" customWidth="1"/>
    <col min="1030" max="1030" width="12.88671875" style="48" customWidth="1"/>
    <col min="1031" max="1031" width="13.21875" style="48" customWidth="1"/>
    <col min="1032" max="1032" width="12.21875" style="48" bestFit="1" customWidth="1"/>
    <col min="1033" max="1033" width="12.109375" style="48" bestFit="1" customWidth="1"/>
    <col min="1034" max="1034" width="8.88671875" style="48"/>
    <col min="1035" max="1035" width="9.109375" style="48" bestFit="1" customWidth="1"/>
    <col min="1036" max="1280" width="8.88671875" style="48"/>
    <col min="1281" max="1281" width="8.33203125" style="48" customWidth="1"/>
    <col min="1282" max="1282" width="7.88671875" style="48" customWidth="1"/>
    <col min="1283" max="1283" width="16.5546875" style="48" bestFit="1" customWidth="1"/>
    <col min="1284" max="1285" width="13.33203125" style="48" customWidth="1"/>
    <col min="1286" max="1286" width="12.88671875" style="48" customWidth="1"/>
    <col min="1287" max="1287" width="13.21875" style="48" customWidth="1"/>
    <col min="1288" max="1288" width="12.21875" style="48" bestFit="1" customWidth="1"/>
    <col min="1289" max="1289" width="12.109375" style="48" bestFit="1" customWidth="1"/>
    <col min="1290" max="1290" width="8.88671875" style="48"/>
    <col min="1291" max="1291" width="9.109375" style="48" bestFit="1" customWidth="1"/>
    <col min="1292" max="1536" width="8.88671875" style="48"/>
    <col min="1537" max="1537" width="8.33203125" style="48" customWidth="1"/>
    <col min="1538" max="1538" width="7.88671875" style="48" customWidth="1"/>
    <col min="1539" max="1539" width="16.5546875" style="48" bestFit="1" customWidth="1"/>
    <col min="1540" max="1541" width="13.33203125" style="48" customWidth="1"/>
    <col min="1542" max="1542" width="12.88671875" style="48" customWidth="1"/>
    <col min="1543" max="1543" width="13.21875" style="48" customWidth="1"/>
    <col min="1544" max="1544" width="12.21875" style="48" bestFit="1" customWidth="1"/>
    <col min="1545" max="1545" width="12.109375" style="48" bestFit="1" customWidth="1"/>
    <col min="1546" max="1546" width="8.88671875" style="48"/>
    <col min="1547" max="1547" width="9.109375" style="48" bestFit="1" customWidth="1"/>
    <col min="1548" max="1792" width="8.88671875" style="48"/>
    <col min="1793" max="1793" width="8.33203125" style="48" customWidth="1"/>
    <col min="1794" max="1794" width="7.88671875" style="48" customWidth="1"/>
    <col min="1795" max="1795" width="16.5546875" style="48" bestFit="1" customWidth="1"/>
    <col min="1796" max="1797" width="13.33203125" style="48" customWidth="1"/>
    <col min="1798" max="1798" width="12.88671875" style="48" customWidth="1"/>
    <col min="1799" max="1799" width="13.21875" style="48" customWidth="1"/>
    <col min="1800" max="1800" width="12.21875" style="48" bestFit="1" customWidth="1"/>
    <col min="1801" max="1801" width="12.109375" style="48" bestFit="1" customWidth="1"/>
    <col min="1802" max="1802" width="8.88671875" style="48"/>
    <col min="1803" max="1803" width="9.109375" style="48" bestFit="1" customWidth="1"/>
    <col min="1804" max="2048" width="8.88671875" style="48"/>
    <col min="2049" max="2049" width="8.33203125" style="48" customWidth="1"/>
    <col min="2050" max="2050" width="7.88671875" style="48" customWidth="1"/>
    <col min="2051" max="2051" width="16.5546875" style="48" bestFit="1" customWidth="1"/>
    <col min="2052" max="2053" width="13.33203125" style="48" customWidth="1"/>
    <col min="2054" max="2054" width="12.88671875" style="48" customWidth="1"/>
    <col min="2055" max="2055" width="13.21875" style="48" customWidth="1"/>
    <col min="2056" max="2056" width="12.21875" style="48" bestFit="1" customWidth="1"/>
    <col min="2057" max="2057" width="12.109375" style="48" bestFit="1" customWidth="1"/>
    <col min="2058" max="2058" width="8.88671875" style="48"/>
    <col min="2059" max="2059" width="9.109375" style="48" bestFit="1" customWidth="1"/>
    <col min="2060" max="2304" width="8.88671875" style="48"/>
    <col min="2305" max="2305" width="8.33203125" style="48" customWidth="1"/>
    <col min="2306" max="2306" width="7.88671875" style="48" customWidth="1"/>
    <col min="2307" max="2307" width="16.5546875" style="48" bestFit="1" customWidth="1"/>
    <col min="2308" max="2309" width="13.33203125" style="48" customWidth="1"/>
    <col min="2310" max="2310" width="12.88671875" style="48" customWidth="1"/>
    <col min="2311" max="2311" width="13.21875" style="48" customWidth="1"/>
    <col min="2312" max="2312" width="12.21875" style="48" bestFit="1" customWidth="1"/>
    <col min="2313" max="2313" width="12.109375" style="48" bestFit="1" customWidth="1"/>
    <col min="2314" max="2314" width="8.88671875" style="48"/>
    <col min="2315" max="2315" width="9.109375" style="48" bestFit="1" customWidth="1"/>
    <col min="2316" max="2560" width="8.88671875" style="48"/>
    <col min="2561" max="2561" width="8.33203125" style="48" customWidth="1"/>
    <col min="2562" max="2562" width="7.88671875" style="48" customWidth="1"/>
    <col min="2563" max="2563" width="16.5546875" style="48" bestFit="1" customWidth="1"/>
    <col min="2564" max="2565" width="13.33203125" style="48" customWidth="1"/>
    <col min="2566" max="2566" width="12.88671875" style="48" customWidth="1"/>
    <col min="2567" max="2567" width="13.21875" style="48" customWidth="1"/>
    <col min="2568" max="2568" width="12.21875" style="48" bestFit="1" customWidth="1"/>
    <col min="2569" max="2569" width="12.109375" style="48" bestFit="1" customWidth="1"/>
    <col min="2570" max="2570" width="8.88671875" style="48"/>
    <col min="2571" max="2571" width="9.109375" style="48" bestFit="1" customWidth="1"/>
    <col min="2572" max="2816" width="8.88671875" style="48"/>
    <col min="2817" max="2817" width="8.33203125" style="48" customWidth="1"/>
    <col min="2818" max="2818" width="7.88671875" style="48" customWidth="1"/>
    <col min="2819" max="2819" width="16.5546875" style="48" bestFit="1" customWidth="1"/>
    <col min="2820" max="2821" width="13.33203125" style="48" customWidth="1"/>
    <col min="2822" max="2822" width="12.88671875" style="48" customWidth="1"/>
    <col min="2823" max="2823" width="13.21875" style="48" customWidth="1"/>
    <col min="2824" max="2824" width="12.21875" style="48" bestFit="1" customWidth="1"/>
    <col min="2825" max="2825" width="12.109375" style="48" bestFit="1" customWidth="1"/>
    <col min="2826" max="2826" width="8.88671875" style="48"/>
    <col min="2827" max="2827" width="9.109375" style="48" bestFit="1" customWidth="1"/>
    <col min="2828" max="3072" width="8.88671875" style="48"/>
    <col min="3073" max="3073" width="8.33203125" style="48" customWidth="1"/>
    <col min="3074" max="3074" width="7.88671875" style="48" customWidth="1"/>
    <col min="3075" max="3075" width="16.5546875" style="48" bestFit="1" customWidth="1"/>
    <col min="3076" max="3077" width="13.33203125" style="48" customWidth="1"/>
    <col min="3078" max="3078" width="12.88671875" style="48" customWidth="1"/>
    <col min="3079" max="3079" width="13.21875" style="48" customWidth="1"/>
    <col min="3080" max="3080" width="12.21875" style="48" bestFit="1" customWidth="1"/>
    <col min="3081" max="3081" width="12.109375" style="48" bestFit="1" customWidth="1"/>
    <col min="3082" max="3082" width="8.88671875" style="48"/>
    <col min="3083" max="3083" width="9.109375" style="48" bestFit="1" customWidth="1"/>
    <col min="3084" max="3328" width="8.88671875" style="48"/>
    <col min="3329" max="3329" width="8.33203125" style="48" customWidth="1"/>
    <col min="3330" max="3330" width="7.88671875" style="48" customWidth="1"/>
    <col min="3331" max="3331" width="16.5546875" style="48" bestFit="1" customWidth="1"/>
    <col min="3332" max="3333" width="13.33203125" style="48" customWidth="1"/>
    <col min="3334" max="3334" width="12.88671875" style="48" customWidth="1"/>
    <col min="3335" max="3335" width="13.21875" style="48" customWidth="1"/>
    <col min="3336" max="3336" width="12.21875" style="48" bestFit="1" customWidth="1"/>
    <col min="3337" max="3337" width="12.109375" style="48" bestFit="1" customWidth="1"/>
    <col min="3338" max="3338" width="8.88671875" style="48"/>
    <col min="3339" max="3339" width="9.109375" style="48" bestFit="1" customWidth="1"/>
    <col min="3340" max="3584" width="8.88671875" style="48"/>
    <col min="3585" max="3585" width="8.33203125" style="48" customWidth="1"/>
    <col min="3586" max="3586" width="7.88671875" style="48" customWidth="1"/>
    <col min="3587" max="3587" width="16.5546875" style="48" bestFit="1" customWidth="1"/>
    <col min="3588" max="3589" width="13.33203125" style="48" customWidth="1"/>
    <col min="3590" max="3590" width="12.88671875" style="48" customWidth="1"/>
    <col min="3591" max="3591" width="13.21875" style="48" customWidth="1"/>
    <col min="3592" max="3592" width="12.21875" style="48" bestFit="1" customWidth="1"/>
    <col min="3593" max="3593" width="12.109375" style="48" bestFit="1" customWidth="1"/>
    <col min="3594" max="3594" width="8.88671875" style="48"/>
    <col min="3595" max="3595" width="9.109375" style="48" bestFit="1" customWidth="1"/>
    <col min="3596" max="3840" width="8.88671875" style="48"/>
    <col min="3841" max="3841" width="8.33203125" style="48" customWidth="1"/>
    <col min="3842" max="3842" width="7.88671875" style="48" customWidth="1"/>
    <col min="3843" max="3843" width="16.5546875" style="48" bestFit="1" customWidth="1"/>
    <col min="3844" max="3845" width="13.33203125" style="48" customWidth="1"/>
    <col min="3846" max="3846" width="12.88671875" style="48" customWidth="1"/>
    <col min="3847" max="3847" width="13.21875" style="48" customWidth="1"/>
    <col min="3848" max="3848" width="12.21875" style="48" bestFit="1" customWidth="1"/>
    <col min="3849" max="3849" width="12.109375" style="48" bestFit="1" customWidth="1"/>
    <col min="3850" max="3850" width="8.88671875" style="48"/>
    <col min="3851" max="3851" width="9.109375" style="48" bestFit="1" customWidth="1"/>
    <col min="3852" max="4096" width="8.88671875" style="48"/>
    <col min="4097" max="4097" width="8.33203125" style="48" customWidth="1"/>
    <col min="4098" max="4098" width="7.88671875" style="48" customWidth="1"/>
    <col min="4099" max="4099" width="16.5546875" style="48" bestFit="1" customWidth="1"/>
    <col min="4100" max="4101" width="13.33203125" style="48" customWidth="1"/>
    <col min="4102" max="4102" width="12.88671875" style="48" customWidth="1"/>
    <col min="4103" max="4103" width="13.21875" style="48" customWidth="1"/>
    <col min="4104" max="4104" width="12.21875" style="48" bestFit="1" customWidth="1"/>
    <col min="4105" max="4105" width="12.109375" style="48" bestFit="1" customWidth="1"/>
    <col min="4106" max="4106" width="8.88671875" style="48"/>
    <col min="4107" max="4107" width="9.109375" style="48" bestFit="1" customWidth="1"/>
    <col min="4108" max="4352" width="8.88671875" style="48"/>
    <col min="4353" max="4353" width="8.33203125" style="48" customWidth="1"/>
    <col min="4354" max="4354" width="7.88671875" style="48" customWidth="1"/>
    <col min="4355" max="4355" width="16.5546875" style="48" bestFit="1" customWidth="1"/>
    <col min="4356" max="4357" width="13.33203125" style="48" customWidth="1"/>
    <col min="4358" max="4358" width="12.88671875" style="48" customWidth="1"/>
    <col min="4359" max="4359" width="13.21875" style="48" customWidth="1"/>
    <col min="4360" max="4360" width="12.21875" style="48" bestFit="1" customWidth="1"/>
    <col min="4361" max="4361" width="12.109375" style="48" bestFit="1" customWidth="1"/>
    <col min="4362" max="4362" width="8.88671875" style="48"/>
    <col min="4363" max="4363" width="9.109375" style="48" bestFit="1" customWidth="1"/>
    <col min="4364" max="4608" width="8.88671875" style="48"/>
    <col min="4609" max="4609" width="8.33203125" style="48" customWidth="1"/>
    <col min="4610" max="4610" width="7.88671875" style="48" customWidth="1"/>
    <col min="4611" max="4611" width="16.5546875" style="48" bestFit="1" customWidth="1"/>
    <col min="4612" max="4613" width="13.33203125" style="48" customWidth="1"/>
    <col min="4614" max="4614" width="12.88671875" style="48" customWidth="1"/>
    <col min="4615" max="4615" width="13.21875" style="48" customWidth="1"/>
    <col min="4616" max="4616" width="12.21875" style="48" bestFit="1" customWidth="1"/>
    <col min="4617" max="4617" width="12.109375" style="48" bestFit="1" customWidth="1"/>
    <col min="4618" max="4618" width="8.88671875" style="48"/>
    <col min="4619" max="4619" width="9.109375" style="48" bestFit="1" customWidth="1"/>
    <col min="4620" max="4864" width="8.88671875" style="48"/>
    <col min="4865" max="4865" width="8.33203125" style="48" customWidth="1"/>
    <col min="4866" max="4866" width="7.88671875" style="48" customWidth="1"/>
    <col min="4867" max="4867" width="16.5546875" style="48" bestFit="1" customWidth="1"/>
    <col min="4868" max="4869" width="13.33203125" style="48" customWidth="1"/>
    <col min="4870" max="4870" width="12.88671875" style="48" customWidth="1"/>
    <col min="4871" max="4871" width="13.21875" style="48" customWidth="1"/>
    <col min="4872" max="4872" width="12.21875" style="48" bestFit="1" customWidth="1"/>
    <col min="4873" max="4873" width="12.109375" style="48" bestFit="1" customWidth="1"/>
    <col min="4874" max="4874" width="8.88671875" style="48"/>
    <col min="4875" max="4875" width="9.109375" style="48" bestFit="1" customWidth="1"/>
    <col min="4876" max="5120" width="8.88671875" style="48"/>
    <col min="5121" max="5121" width="8.33203125" style="48" customWidth="1"/>
    <col min="5122" max="5122" width="7.88671875" style="48" customWidth="1"/>
    <col min="5123" max="5123" width="16.5546875" style="48" bestFit="1" customWidth="1"/>
    <col min="5124" max="5125" width="13.33203125" style="48" customWidth="1"/>
    <col min="5126" max="5126" width="12.88671875" style="48" customWidth="1"/>
    <col min="5127" max="5127" width="13.21875" style="48" customWidth="1"/>
    <col min="5128" max="5128" width="12.21875" style="48" bestFit="1" customWidth="1"/>
    <col min="5129" max="5129" width="12.109375" style="48" bestFit="1" customWidth="1"/>
    <col min="5130" max="5130" width="8.88671875" style="48"/>
    <col min="5131" max="5131" width="9.109375" style="48" bestFit="1" customWidth="1"/>
    <col min="5132" max="5376" width="8.88671875" style="48"/>
    <col min="5377" max="5377" width="8.33203125" style="48" customWidth="1"/>
    <col min="5378" max="5378" width="7.88671875" style="48" customWidth="1"/>
    <col min="5379" max="5379" width="16.5546875" style="48" bestFit="1" customWidth="1"/>
    <col min="5380" max="5381" width="13.33203125" style="48" customWidth="1"/>
    <col min="5382" max="5382" width="12.88671875" style="48" customWidth="1"/>
    <col min="5383" max="5383" width="13.21875" style="48" customWidth="1"/>
    <col min="5384" max="5384" width="12.21875" style="48" bestFit="1" customWidth="1"/>
    <col min="5385" max="5385" width="12.109375" style="48" bestFit="1" customWidth="1"/>
    <col min="5386" max="5386" width="8.88671875" style="48"/>
    <col min="5387" max="5387" width="9.109375" style="48" bestFit="1" customWidth="1"/>
    <col min="5388" max="5632" width="8.88671875" style="48"/>
    <col min="5633" max="5633" width="8.33203125" style="48" customWidth="1"/>
    <col min="5634" max="5634" width="7.88671875" style="48" customWidth="1"/>
    <col min="5635" max="5635" width="16.5546875" style="48" bestFit="1" customWidth="1"/>
    <col min="5636" max="5637" width="13.33203125" style="48" customWidth="1"/>
    <col min="5638" max="5638" width="12.88671875" style="48" customWidth="1"/>
    <col min="5639" max="5639" width="13.21875" style="48" customWidth="1"/>
    <col min="5640" max="5640" width="12.21875" style="48" bestFit="1" customWidth="1"/>
    <col min="5641" max="5641" width="12.109375" style="48" bestFit="1" customWidth="1"/>
    <col min="5642" max="5642" width="8.88671875" style="48"/>
    <col min="5643" max="5643" width="9.109375" style="48" bestFit="1" customWidth="1"/>
    <col min="5644" max="5888" width="8.88671875" style="48"/>
    <col min="5889" max="5889" width="8.33203125" style="48" customWidth="1"/>
    <col min="5890" max="5890" width="7.88671875" style="48" customWidth="1"/>
    <col min="5891" max="5891" width="16.5546875" style="48" bestFit="1" customWidth="1"/>
    <col min="5892" max="5893" width="13.33203125" style="48" customWidth="1"/>
    <col min="5894" max="5894" width="12.88671875" style="48" customWidth="1"/>
    <col min="5895" max="5895" width="13.21875" style="48" customWidth="1"/>
    <col min="5896" max="5896" width="12.21875" style="48" bestFit="1" customWidth="1"/>
    <col min="5897" max="5897" width="12.109375" style="48" bestFit="1" customWidth="1"/>
    <col min="5898" max="5898" width="8.88671875" style="48"/>
    <col min="5899" max="5899" width="9.109375" style="48" bestFit="1" customWidth="1"/>
    <col min="5900" max="6144" width="8.88671875" style="48"/>
    <col min="6145" max="6145" width="8.33203125" style="48" customWidth="1"/>
    <col min="6146" max="6146" width="7.88671875" style="48" customWidth="1"/>
    <col min="6147" max="6147" width="16.5546875" style="48" bestFit="1" customWidth="1"/>
    <col min="6148" max="6149" width="13.33203125" style="48" customWidth="1"/>
    <col min="6150" max="6150" width="12.88671875" style="48" customWidth="1"/>
    <col min="6151" max="6151" width="13.21875" style="48" customWidth="1"/>
    <col min="6152" max="6152" width="12.21875" style="48" bestFit="1" customWidth="1"/>
    <col min="6153" max="6153" width="12.109375" style="48" bestFit="1" customWidth="1"/>
    <col min="6154" max="6154" width="8.88671875" style="48"/>
    <col min="6155" max="6155" width="9.109375" style="48" bestFit="1" customWidth="1"/>
    <col min="6156" max="6400" width="8.88671875" style="48"/>
    <col min="6401" max="6401" width="8.33203125" style="48" customWidth="1"/>
    <col min="6402" max="6402" width="7.88671875" style="48" customWidth="1"/>
    <col min="6403" max="6403" width="16.5546875" style="48" bestFit="1" customWidth="1"/>
    <col min="6404" max="6405" width="13.33203125" style="48" customWidth="1"/>
    <col min="6406" max="6406" width="12.88671875" style="48" customWidth="1"/>
    <col min="6407" max="6407" width="13.21875" style="48" customWidth="1"/>
    <col min="6408" max="6408" width="12.21875" style="48" bestFit="1" customWidth="1"/>
    <col min="6409" max="6409" width="12.109375" style="48" bestFit="1" customWidth="1"/>
    <col min="6410" max="6410" width="8.88671875" style="48"/>
    <col min="6411" max="6411" width="9.109375" style="48" bestFit="1" customWidth="1"/>
    <col min="6412" max="6656" width="8.88671875" style="48"/>
    <col min="6657" max="6657" width="8.33203125" style="48" customWidth="1"/>
    <col min="6658" max="6658" width="7.88671875" style="48" customWidth="1"/>
    <col min="6659" max="6659" width="16.5546875" style="48" bestFit="1" customWidth="1"/>
    <col min="6660" max="6661" width="13.33203125" style="48" customWidth="1"/>
    <col min="6662" max="6662" width="12.88671875" style="48" customWidth="1"/>
    <col min="6663" max="6663" width="13.21875" style="48" customWidth="1"/>
    <col min="6664" max="6664" width="12.21875" style="48" bestFit="1" customWidth="1"/>
    <col min="6665" max="6665" width="12.109375" style="48" bestFit="1" customWidth="1"/>
    <col min="6666" max="6666" width="8.88671875" style="48"/>
    <col min="6667" max="6667" width="9.109375" style="48" bestFit="1" customWidth="1"/>
    <col min="6668" max="6912" width="8.88671875" style="48"/>
    <col min="6913" max="6913" width="8.33203125" style="48" customWidth="1"/>
    <col min="6914" max="6914" width="7.88671875" style="48" customWidth="1"/>
    <col min="6915" max="6915" width="16.5546875" style="48" bestFit="1" customWidth="1"/>
    <col min="6916" max="6917" width="13.33203125" style="48" customWidth="1"/>
    <col min="6918" max="6918" width="12.88671875" style="48" customWidth="1"/>
    <col min="6919" max="6919" width="13.21875" style="48" customWidth="1"/>
    <col min="6920" max="6920" width="12.21875" style="48" bestFit="1" customWidth="1"/>
    <col min="6921" max="6921" width="12.109375" style="48" bestFit="1" customWidth="1"/>
    <col min="6922" max="6922" width="8.88671875" style="48"/>
    <col min="6923" max="6923" width="9.109375" style="48" bestFit="1" customWidth="1"/>
    <col min="6924" max="7168" width="8.88671875" style="48"/>
    <col min="7169" max="7169" width="8.33203125" style="48" customWidth="1"/>
    <col min="7170" max="7170" width="7.88671875" style="48" customWidth="1"/>
    <col min="7171" max="7171" width="16.5546875" style="48" bestFit="1" customWidth="1"/>
    <col min="7172" max="7173" width="13.33203125" style="48" customWidth="1"/>
    <col min="7174" max="7174" width="12.88671875" style="48" customWidth="1"/>
    <col min="7175" max="7175" width="13.21875" style="48" customWidth="1"/>
    <col min="7176" max="7176" width="12.21875" style="48" bestFit="1" customWidth="1"/>
    <col min="7177" max="7177" width="12.109375" style="48" bestFit="1" customWidth="1"/>
    <col min="7178" max="7178" width="8.88671875" style="48"/>
    <col min="7179" max="7179" width="9.109375" style="48" bestFit="1" customWidth="1"/>
    <col min="7180" max="7424" width="8.88671875" style="48"/>
    <col min="7425" max="7425" width="8.33203125" style="48" customWidth="1"/>
    <col min="7426" max="7426" width="7.88671875" style="48" customWidth="1"/>
    <col min="7427" max="7427" width="16.5546875" style="48" bestFit="1" customWidth="1"/>
    <col min="7428" max="7429" width="13.33203125" style="48" customWidth="1"/>
    <col min="7430" max="7430" width="12.88671875" style="48" customWidth="1"/>
    <col min="7431" max="7431" width="13.21875" style="48" customWidth="1"/>
    <col min="7432" max="7432" width="12.21875" style="48" bestFit="1" customWidth="1"/>
    <col min="7433" max="7433" width="12.109375" style="48" bestFit="1" customWidth="1"/>
    <col min="7434" max="7434" width="8.88671875" style="48"/>
    <col min="7435" max="7435" width="9.109375" style="48" bestFit="1" customWidth="1"/>
    <col min="7436" max="7680" width="8.88671875" style="48"/>
    <col min="7681" max="7681" width="8.33203125" style="48" customWidth="1"/>
    <col min="7682" max="7682" width="7.88671875" style="48" customWidth="1"/>
    <col min="7683" max="7683" width="16.5546875" style="48" bestFit="1" customWidth="1"/>
    <col min="7684" max="7685" width="13.33203125" style="48" customWidth="1"/>
    <col min="7686" max="7686" width="12.88671875" style="48" customWidth="1"/>
    <col min="7687" max="7687" width="13.21875" style="48" customWidth="1"/>
    <col min="7688" max="7688" width="12.21875" style="48" bestFit="1" customWidth="1"/>
    <col min="7689" max="7689" width="12.109375" style="48" bestFit="1" customWidth="1"/>
    <col min="7690" max="7690" width="8.88671875" style="48"/>
    <col min="7691" max="7691" width="9.109375" style="48" bestFit="1" customWidth="1"/>
    <col min="7692" max="7936" width="8.88671875" style="48"/>
    <col min="7937" max="7937" width="8.33203125" style="48" customWidth="1"/>
    <col min="7938" max="7938" width="7.88671875" style="48" customWidth="1"/>
    <col min="7939" max="7939" width="16.5546875" style="48" bestFit="1" customWidth="1"/>
    <col min="7940" max="7941" width="13.33203125" style="48" customWidth="1"/>
    <col min="7942" max="7942" width="12.88671875" style="48" customWidth="1"/>
    <col min="7943" max="7943" width="13.21875" style="48" customWidth="1"/>
    <col min="7944" max="7944" width="12.21875" style="48" bestFit="1" customWidth="1"/>
    <col min="7945" max="7945" width="12.109375" style="48" bestFit="1" customWidth="1"/>
    <col min="7946" max="7946" width="8.88671875" style="48"/>
    <col min="7947" max="7947" width="9.109375" style="48" bestFit="1" customWidth="1"/>
    <col min="7948" max="8192" width="8.88671875" style="48"/>
    <col min="8193" max="8193" width="8.33203125" style="48" customWidth="1"/>
    <col min="8194" max="8194" width="7.88671875" style="48" customWidth="1"/>
    <col min="8195" max="8195" width="16.5546875" style="48" bestFit="1" customWidth="1"/>
    <col min="8196" max="8197" width="13.33203125" style="48" customWidth="1"/>
    <col min="8198" max="8198" width="12.88671875" style="48" customWidth="1"/>
    <col min="8199" max="8199" width="13.21875" style="48" customWidth="1"/>
    <col min="8200" max="8200" width="12.21875" style="48" bestFit="1" customWidth="1"/>
    <col min="8201" max="8201" width="12.109375" style="48" bestFit="1" customWidth="1"/>
    <col min="8202" max="8202" width="8.88671875" style="48"/>
    <col min="8203" max="8203" width="9.109375" style="48" bestFit="1" customWidth="1"/>
    <col min="8204" max="8448" width="8.88671875" style="48"/>
    <col min="8449" max="8449" width="8.33203125" style="48" customWidth="1"/>
    <col min="8450" max="8450" width="7.88671875" style="48" customWidth="1"/>
    <col min="8451" max="8451" width="16.5546875" style="48" bestFit="1" customWidth="1"/>
    <col min="8452" max="8453" width="13.33203125" style="48" customWidth="1"/>
    <col min="8454" max="8454" width="12.88671875" style="48" customWidth="1"/>
    <col min="8455" max="8455" width="13.21875" style="48" customWidth="1"/>
    <col min="8456" max="8456" width="12.21875" style="48" bestFit="1" customWidth="1"/>
    <col min="8457" max="8457" width="12.109375" style="48" bestFit="1" customWidth="1"/>
    <col min="8458" max="8458" width="8.88671875" style="48"/>
    <col min="8459" max="8459" width="9.109375" style="48" bestFit="1" customWidth="1"/>
    <col min="8460" max="8704" width="8.88671875" style="48"/>
    <col min="8705" max="8705" width="8.33203125" style="48" customWidth="1"/>
    <col min="8706" max="8706" width="7.88671875" style="48" customWidth="1"/>
    <col min="8707" max="8707" width="16.5546875" style="48" bestFit="1" customWidth="1"/>
    <col min="8708" max="8709" width="13.33203125" style="48" customWidth="1"/>
    <col min="8710" max="8710" width="12.88671875" style="48" customWidth="1"/>
    <col min="8711" max="8711" width="13.21875" style="48" customWidth="1"/>
    <col min="8712" max="8712" width="12.21875" style="48" bestFit="1" customWidth="1"/>
    <col min="8713" max="8713" width="12.109375" style="48" bestFit="1" customWidth="1"/>
    <col min="8714" max="8714" width="8.88671875" style="48"/>
    <col min="8715" max="8715" width="9.109375" style="48" bestFit="1" customWidth="1"/>
    <col min="8716" max="8960" width="8.88671875" style="48"/>
    <col min="8961" max="8961" width="8.33203125" style="48" customWidth="1"/>
    <col min="8962" max="8962" width="7.88671875" style="48" customWidth="1"/>
    <col min="8963" max="8963" width="16.5546875" style="48" bestFit="1" customWidth="1"/>
    <col min="8964" max="8965" width="13.33203125" style="48" customWidth="1"/>
    <col min="8966" max="8966" width="12.88671875" style="48" customWidth="1"/>
    <col min="8967" max="8967" width="13.21875" style="48" customWidth="1"/>
    <col min="8968" max="8968" width="12.21875" style="48" bestFit="1" customWidth="1"/>
    <col min="8969" max="8969" width="12.109375" style="48" bestFit="1" customWidth="1"/>
    <col min="8970" max="8970" width="8.88671875" style="48"/>
    <col min="8971" max="8971" width="9.109375" style="48" bestFit="1" customWidth="1"/>
    <col min="8972" max="9216" width="8.88671875" style="48"/>
    <col min="9217" max="9217" width="8.33203125" style="48" customWidth="1"/>
    <col min="9218" max="9218" width="7.88671875" style="48" customWidth="1"/>
    <col min="9219" max="9219" width="16.5546875" style="48" bestFit="1" customWidth="1"/>
    <col min="9220" max="9221" width="13.33203125" style="48" customWidth="1"/>
    <col min="9222" max="9222" width="12.88671875" style="48" customWidth="1"/>
    <col min="9223" max="9223" width="13.21875" style="48" customWidth="1"/>
    <col min="9224" max="9224" width="12.21875" style="48" bestFit="1" customWidth="1"/>
    <col min="9225" max="9225" width="12.109375" style="48" bestFit="1" customWidth="1"/>
    <col min="9226" max="9226" width="8.88671875" style="48"/>
    <col min="9227" max="9227" width="9.109375" style="48" bestFit="1" customWidth="1"/>
    <col min="9228" max="9472" width="8.88671875" style="48"/>
    <col min="9473" max="9473" width="8.33203125" style="48" customWidth="1"/>
    <col min="9474" max="9474" width="7.88671875" style="48" customWidth="1"/>
    <col min="9475" max="9475" width="16.5546875" style="48" bestFit="1" customWidth="1"/>
    <col min="9476" max="9477" width="13.33203125" style="48" customWidth="1"/>
    <col min="9478" max="9478" width="12.88671875" style="48" customWidth="1"/>
    <col min="9479" max="9479" width="13.21875" style="48" customWidth="1"/>
    <col min="9480" max="9480" width="12.21875" style="48" bestFit="1" customWidth="1"/>
    <col min="9481" max="9481" width="12.109375" style="48" bestFit="1" customWidth="1"/>
    <col min="9482" max="9482" width="8.88671875" style="48"/>
    <col min="9483" max="9483" width="9.109375" style="48" bestFit="1" customWidth="1"/>
    <col min="9484" max="9728" width="8.88671875" style="48"/>
    <col min="9729" max="9729" width="8.33203125" style="48" customWidth="1"/>
    <col min="9730" max="9730" width="7.88671875" style="48" customWidth="1"/>
    <col min="9731" max="9731" width="16.5546875" style="48" bestFit="1" customWidth="1"/>
    <col min="9732" max="9733" width="13.33203125" style="48" customWidth="1"/>
    <col min="9734" max="9734" width="12.88671875" style="48" customWidth="1"/>
    <col min="9735" max="9735" width="13.21875" style="48" customWidth="1"/>
    <col min="9736" max="9736" width="12.21875" style="48" bestFit="1" customWidth="1"/>
    <col min="9737" max="9737" width="12.109375" style="48" bestFit="1" customWidth="1"/>
    <col min="9738" max="9738" width="8.88671875" style="48"/>
    <col min="9739" max="9739" width="9.109375" style="48" bestFit="1" customWidth="1"/>
    <col min="9740" max="9984" width="8.88671875" style="48"/>
    <col min="9985" max="9985" width="8.33203125" style="48" customWidth="1"/>
    <col min="9986" max="9986" width="7.88671875" style="48" customWidth="1"/>
    <col min="9987" max="9987" width="16.5546875" style="48" bestFit="1" customWidth="1"/>
    <col min="9988" max="9989" width="13.33203125" style="48" customWidth="1"/>
    <col min="9990" max="9990" width="12.88671875" style="48" customWidth="1"/>
    <col min="9991" max="9991" width="13.21875" style="48" customWidth="1"/>
    <col min="9992" max="9992" width="12.21875" style="48" bestFit="1" customWidth="1"/>
    <col min="9993" max="9993" width="12.109375" style="48" bestFit="1" customWidth="1"/>
    <col min="9994" max="9994" width="8.88671875" style="48"/>
    <col min="9995" max="9995" width="9.109375" style="48" bestFit="1" customWidth="1"/>
    <col min="9996" max="10240" width="8.88671875" style="48"/>
    <col min="10241" max="10241" width="8.33203125" style="48" customWidth="1"/>
    <col min="10242" max="10242" width="7.88671875" style="48" customWidth="1"/>
    <col min="10243" max="10243" width="16.5546875" style="48" bestFit="1" customWidth="1"/>
    <col min="10244" max="10245" width="13.33203125" style="48" customWidth="1"/>
    <col min="10246" max="10246" width="12.88671875" style="48" customWidth="1"/>
    <col min="10247" max="10247" width="13.21875" style="48" customWidth="1"/>
    <col min="10248" max="10248" width="12.21875" style="48" bestFit="1" customWidth="1"/>
    <col min="10249" max="10249" width="12.109375" style="48" bestFit="1" customWidth="1"/>
    <col min="10250" max="10250" width="8.88671875" style="48"/>
    <col min="10251" max="10251" width="9.109375" style="48" bestFit="1" customWidth="1"/>
    <col min="10252" max="10496" width="8.88671875" style="48"/>
    <col min="10497" max="10497" width="8.33203125" style="48" customWidth="1"/>
    <col min="10498" max="10498" width="7.88671875" style="48" customWidth="1"/>
    <col min="10499" max="10499" width="16.5546875" style="48" bestFit="1" customWidth="1"/>
    <col min="10500" max="10501" width="13.33203125" style="48" customWidth="1"/>
    <col min="10502" max="10502" width="12.88671875" style="48" customWidth="1"/>
    <col min="10503" max="10503" width="13.21875" style="48" customWidth="1"/>
    <col min="10504" max="10504" width="12.21875" style="48" bestFit="1" customWidth="1"/>
    <col min="10505" max="10505" width="12.109375" style="48" bestFit="1" customWidth="1"/>
    <col min="10506" max="10506" width="8.88671875" style="48"/>
    <col min="10507" max="10507" width="9.109375" style="48" bestFit="1" customWidth="1"/>
    <col min="10508" max="10752" width="8.88671875" style="48"/>
    <col min="10753" max="10753" width="8.33203125" style="48" customWidth="1"/>
    <col min="10754" max="10754" width="7.88671875" style="48" customWidth="1"/>
    <col min="10755" max="10755" width="16.5546875" style="48" bestFit="1" customWidth="1"/>
    <col min="10756" max="10757" width="13.33203125" style="48" customWidth="1"/>
    <col min="10758" max="10758" width="12.88671875" style="48" customWidth="1"/>
    <col min="10759" max="10759" width="13.21875" style="48" customWidth="1"/>
    <col min="10760" max="10760" width="12.21875" style="48" bestFit="1" customWidth="1"/>
    <col min="10761" max="10761" width="12.109375" style="48" bestFit="1" customWidth="1"/>
    <col min="10762" max="10762" width="8.88671875" style="48"/>
    <col min="10763" max="10763" width="9.109375" style="48" bestFit="1" customWidth="1"/>
    <col min="10764" max="11008" width="8.88671875" style="48"/>
    <col min="11009" max="11009" width="8.33203125" style="48" customWidth="1"/>
    <col min="11010" max="11010" width="7.88671875" style="48" customWidth="1"/>
    <col min="11011" max="11011" width="16.5546875" style="48" bestFit="1" customWidth="1"/>
    <col min="11012" max="11013" width="13.33203125" style="48" customWidth="1"/>
    <col min="11014" max="11014" width="12.88671875" style="48" customWidth="1"/>
    <col min="11015" max="11015" width="13.21875" style="48" customWidth="1"/>
    <col min="11016" max="11016" width="12.21875" style="48" bestFit="1" customWidth="1"/>
    <col min="11017" max="11017" width="12.109375" style="48" bestFit="1" customWidth="1"/>
    <col min="11018" max="11018" width="8.88671875" style="48"/>
    <col min="11019" max="11019" width="9.109375" style="48" bestFit="1" customWidth="1"/>
    <col min="11020" max="11264" width="8.88671875" style="48"/>
    <col min="11265" max="11265" width="8.33203125" style="48" customWidth="1"/>
    <col min="11266" max="11266" width="7.88671875" style="48" customWidth="1"/>
    <col min="11267" max="11267" width="16.5546875" style="48" bestFit="1" customWidth="1"/>
    <col min="11268" max="11269" width="13.33203125" style="48" customWidth="1"/>
    <col min="11270" max="11270" width="12.88671875" style="48" customWidth="1"/>
    <col min="11271" max="11271" width="13.21875" style="48" customWidth="1"/>
    <col min="11272" max="11272" width="12.21875" style="48" bestFit="1" customWidth="1"/>
    <col min="11273" max="11273" width="12.109375" style="48" bestFit="1" customWidth="1"/>
    <col min="11274" max="11274" width="8.88671875" style="48"/>
    <col min="11275" max="11275" width="9.109375" style="48" bestFit="1" customWidth="1"/>
    <col min="11276" max="11520" width="8.88671875" style="48"/>
    <col min="11521" max="11521" width="8.33203125" style="48" customWidth="1"/>
    <col min="11522" max="11522" width="7.88671875" style="48" customWidth="1"/>
    <col min="11523" max="11523" width="16.5546875" style="48" bestFit="1" customWidth="1"/>
    <col min="11524" max="11525" width="13.33203125" style="48" customWidth="1"/>
    <col min="11526" max="11526" width="12.88671875" style="48" customWidth="1"/>
    <col min="11527" max="11527" width="13.21875" style="48" customWidth="1"/>
    <col min="11528" max="11528" width="12.21875" style="48" bestFit="1" customWidth="1"/>
    <col min="11529" max="11529" width="12.109375" style="48" bestFit="1" customWidth="1"/>
    <col min="11530" max="11530" width="8.88671875" style="48"/>
    <col min="11531" max="11531" width="9.109375" style="48" bestFit="1" customWidth="1"/>
    <col min="11532" max="11776" width="8.88671875" style="48"/>
    <col min="11777" max="11777" width="8.33203125" style="48" customWidth="1"/>
    <col min="11778" max="11778" width="7.88671875" style="48" customWidth="1"/>
    <col min="11779" max="11779" width="16.5546875" style="48" bestFit="1" customWidth="1"/>
    <col min="11780" max="11781" width="13.33203125" style="48" customWidth="1"/>
    <col min="11782" max="11782" width="12.88671875" style="48" customWidth="1"/>
    <col min="11783" max="11783" width="13.21875" style="48" customWidth="1"/>
    <col min="11784" max="11784" width="12.21875" style="48" bestFit="1" customWidth="1"/>
    <col min="11785" max="11785" width="12.109375" style="48" bestFit="1" customWidth="1"/>
    <col min="11786" max="11786" width="8.88671875" style="48"/>
    <col min="11787" max="11787" width="9.109375" style="48" bestFit="1" customWidth="1"/>
    <col min="11788" max="12032" width="8.88671875" style="48"/>
    <col min="12033" max="12033" width="8.33203125" style="48" customWidth="1"/>
    <col min="12034" max="12034" width="7.88671875" style="48" customWidth="1"/>
    <col min="12035" max="12035" width="16.5546875" style="48" bestFit="1" customWidth="1"/>
    <col min="12036" max="12037" width="13.33203125" style="48" customWidth="1"/>
    <col min="12038" max="12038" width="12.88671875" style="48" customWidth="1"/>
    <col min="12039" max="12039" width="13.21875" style="48" customWidth="1"/>
    <col min="12040" max="12040" width="12.21875" style="48" bestFit="1" customWidth="1"/>
    <col min="12041" max="12041" width="12.109375" style="48" bestFit="1" customWidth="1"/>
    <col min="12042" max="12042" width="8.88671875" style="48"/>
    <col min="12043" max="12043" width="9.109375" style="48" bestFit="1" customWidth="1"/>
    <col min="12044" max="12288" width="8.88671875" style="48"/>
    <col min="12289" max="12289" width="8.33203125" style="48" customWidth="1"/>
    <col min="12290" max="12290" width="7.88671875" style="48" customWidth="1"/>
    <col min="12291" max="12291" width="16.5546875" style="48" bestFit="1" customWidth="1"/>
    <col min="12292" max="12293" width="13.33203125" style="48" customWidth="1"/>
    <col min="12294" max="12294" width="12.88671875" style="48" customWidth="1"/>
    <col min="12295" max="12295" width="13.21875" style="48" customWidth="1"/>
    <col min="12296" max="12296" width="12.21875" style="48" bestFit="1" customWidth="1"/>
    <col min="12297" max="12297" width="12.109375" style="48" bestFit="1" customWidth="1"/>
    <col min="12298" max="12298" width="8.88671875" style="48"/>
    <col min="12299" max="12299" width="9.109375" style="48" bestFit="1" customWidth="1"/>
    <col min="12300" max="12544" width="8.88671875" style="48"/>
    <col min="12545" max="12545" width="8.33203125" style="48" customWidth="1"/>
    <col min="12546" max="12546" width="7.88671875" style="48" customWidth="1"/>
    <col min="12547" max="12547" width="16.5546875" style="48" bestFit="1" customWidth="1"/>
    <col min="12548" max="12549" width="13.33203125" style="48" customWidth="1"/>
    <col min="12550" max="12550" width="12.88671875" style="48" customWidth="1"/>
    <col min="12551" max="12551" width="13.21875" style="48" customWidth="1"/>
    <col min="12552" max="12552" width="12.21875" style="48" bestFit="1" customWidth="1"/>
    <col min="12553" max="12553" width="12.109375" style="48" bestFit="1" customWidth="1"/>
    <col min="12554" max="12554" width="8.88671875" style="48"/>
    <col min="12555" max="12555" width="9.109375" style="48" bestFit="1" customWidth="1"/>
    <col min="12556" max="12800" width="8.88671875" style="48"/>
    <col min="12801" max="12801" width="8.33203125" style="48" customWidth="1"/>
    <col min="12802" max="12802" width="7.88671875" style="48" customWidth="1"/>
    <col min="12803" max="12803" width="16.5546875" style="48" bestFit="1" customWidth="1"/>
    <col min="12804" max="12805" width="13.33203125" style="48" customWidth="1"/>
    <col min="12806" max="12806" width="12.88671875" style="48" customWidth="1"/>
    <col min="12807" max="12807" width="13.21875" style="48" customWidth="1"/>
    <col min="12808" max="12808" width="12.21875" style="48" bestFit="1" customWidth="1"/>
    <col min="12809" max="12809" width="12.109375" style="48" bestFit="1" customWidth="1"/>
    <col min="12810" max="12810" width="8.88671875" style="48"/>
    <col min="12811" max="12811" width="9.109375" style="48" bestFit="1" customWidth="1"/>
    <col min="12812" max="13056" width="8.88671875" style="48"/>
    <col min="13057" max="13057" width="8.33203125" style="48" customWidth="1"/>
    <col min="13058" max="13058" width="7.88671875" style="48" customWidth="1"/>
    <col min="13059" max="13059" width="16.5546875" style="48" bestFit="1" customWidth="1"/>
    <col min="13060" max="13061" width="13.33203125" style="48" customWidth="1"/>
    <col min="13062" max="13062" width="12.88671875" style="48" customWidth="1"/>
    <col min="13063" max="13063" width="13.21875" style="48" customWidth="1"/>
    <col min="13064" max="13064" width="12.21875" style="48" bestFit="1" customWidth="1"/>
    <col min="13065" max="13065" width="12.109375" style="48" bestFit="1" customWidth="1"/>
    <col min="13066" max="13066" width="8.88671875" style="48"/>
    <col min="13067" max="13067" width="9.109375" style="48" bestFit="1" customWidth="1"/>
    <col min="13068" max="13312" width="8.88671875" style="48"/>
    <col min="13313" max="13313" width="8.33203125" style="48" customWidth="1"/>
    <col min="13314" max="13314" width="7.88671875" style="48" customWidth="1"/>
    <col min="13315" max="13315" width="16.5546875" style="48" bestFit="1" customWidth="1"/>
    <col min="13316" max="13317" width="13.33203125" style="48" customWidth="1"/>
    <col min="13318" max="13318" width="12.88671875" style="48" customWidth="1"/>
    <col min="13319" max="13319" width="13.21875" style="48" customWidth="1"/>
    <col min="13320" max="13320" width="12.21875" style="48" bestFit="1" customWidth="1"/>
    <col min="13321" max="13321" width="12.109375" style="48" bestFit="1" customWidth="1"/>
    <col min="13322" max="13322" width="8.88671875" style="48"/>
    <col min="13323" max="13323" width="9.109375" style="48" bestFit="1" customWidth="1"/>
    <col min="13324" max="13568" width="8.88671875" style="48"/>
    <col min="13569" max="13569" width="8.33203125" style="48" customWidth="1"/>
    <col min="13570" max="13570" width="7.88671875" style="48" customWidth="1"/>
    <col min="13571" max="13571" width="16.5546875" style="48" bestFit="1" customWidth="1"/>
    <col min="13572" max="13573" width="13.33203125" style="48" customWidth="1"/>
    <col min="13574" max="13574" width="12.88671875" style="48" customWidth="1"/>
    <col min="13575" max="13575" width="13.21875" style="48" customWidth="1"/>
    <col min="13576" max="13576" width="12.21875" style="48" bestFit="1" customWidth="1"/>
    <col min="13577" max="13577" width="12.109375" style="48" bestFit="1" customWidth="1"/>
    <col min="13578" max="13578" width="8.88671875" style="48"/>
    <col min="13579" max="13579" width="9.109375" style="48" bestFit="1" customWidth="1"/>
    <col min="13580" max="13824" width="8.88671875" style="48"/>
    <col min="13825" max="13825" width="8.33203125" style="48" customWidth="1"/>
    <col min="13826" max="13826" width="7.88671875" style="48" customWidth="1"/>
    <col min="13827" max="13827" width="16.5546875" style="48" bestFit="1" customWidth="1"/>
    <col min="13828" max="13829" width="13.33203125" style="48" customWidth="1"/>
    <col min="13830" max="13830" width="12.88671875" style="48" customWidth="1"/>
    <col min="13831" max="13831" width="13.21875" style="48" customWidth="1"/>
    <col min="13832" max="13832" width="12.21875" style="48" bestFit="1" customWidth="1"/>
    <col min="13833" max="13833" width="12.109375" style="48" bestFit="1" customWidth="1"/>
    <col min="13834" max="13834" width="8.88671875" style="48"/>
    <col min="13835" max="13835" width="9.109375" style="48" bestFit="1" customWidth="1"/>
    <col min="13836" max="14080" width="8.88671875" style="48"/>
    <col min="14081" max="14081" width="8.33203125" style="48" customWidth="1"/>
    <col min="14082" max="14082" width="7.88671875" style="48" customWidth="1"/>
    <col min="14083" max="14083" width="16.5546875" style="48" bestFit="1" customWidth="1"/>
    <col min="14084" max="14085" width="13.33203125" style="48" customWidth="1"/>
    <col min="14086" max="14086" width="12.88671875" style="48" customWidth="1"/>
    <col min="14087" max="14087" width="13.21875" style="48" customWidth="1"/>
    <col min="14088" max="14088" width="12.21875" style="48" bestFit="1" customWidth="1"/>
    <col min="14089" max="14089" width="12.109375" style="48" bestFit="1" customWidth="1"/>
    <col min="14090" max="14090" width="8.88671875" style="48"/>
    <col min="14091" max="14091" width="9.109375" style="48" bestFit="1" customWidth="1"/>
    <col min="14092" max="14336" width="8.88671875" style="48"/>
    <col min="14337" max="14337" width="8.33203125" style="48" customWidth="1"/>
    <col min="14338" max="14338" width="7.88671875" style="48" customWidth="1"/>
    <col min="14339" max="14339" width="16.5546875" style="48" bestFit="1" customWidth="1"/>
    <col min="14340" max="14341" width="13.33203125" style="48" customWidth="1"/>
    <col min="14342" max="14342" width="12.88671875" style="48" customWidth="1"/>
    <col min="14343" max="14343" width="13.21875" style="48" customWidth="1"/>
    <col min="14344" max="14344" width="12.21875" style="48" bestFit="1" customWidth="1"/>
    <col min="14345" max="14345" width="12.109375" style="48" bestFit="1" customWidth="1"/>
    <col min="14346" max="14346" width="8.88671875" style="48"/>
    <col min="14347" max="14347" width="9.109375" style="48" bestFit="1" customWidth="1"/>
    <col min="14348" max="14592" width="8.88671875" style="48"/>
    <col min="14593" max="14593" width="8.33203125" style="48" customWidth="1"/>
    <col min="14594" max="14594" width="7.88671875" style="48" customWidth="1"/>
    <col min="14595" max="14595" width="16.5546875" style="48" bestFit="1" customWidth="1"/>
    <col min="14596" max="14597" width="13.33203125" style="48" customWidth="1"/>
    <col min="14598" max="14598" width="12.88671875" style="48" customWidth="1"/>
    <col min="14599" max="14599" width="13.21875" style="48" customWidth="1"/>
    <col min="14600" max="14600" width="12.21875" style="48" bestFit="1" customWidth="1"/>
    <col min="14601" max="14601" width="12.109375" style="48" bestFit="1" customWidth="1"/>
    <col min="14602" max="14602" width="8.88671875" style="48"/>
    <col min="14603" max="14603" width="9.109375" style="48" bestFit="1" customWidth="1"/>
    <col min="14604" max="14848" width="8.88671875" style="48"/>
    <col min="14849" max="14849" width="8.33203125" style="48" customWidth="1"/>
    <col min="14850" max="14850" width="7.88671875" style="48" customWidth="1"/>
    <col min="14851" max="14851" width="16.5546875" style="48" bestFit="1" customWidth="1"/>
    <col min="14852" max="14853" width="13.33203125" style="48" customWidth="1"/>
    <col min="14854" max="14854" width="12.88671875" style="48" customWidth="1"/>
    <col min="14855" max="14855" width="13.21875" style="48" customWidth="1"/>
    <col min="14856" max="14856" width="12.21875" style="48" bestFit="1" customWidth="1"/>
    <col min="14857" max="14857" width="12.109375" style="48" bestFit="1" customWidth="1"/>
    <col min="14858" max="14858" width="8.88671875" style="48"/>
    <col min="14859" max="14859" width="9.109375" style="48" bestFit="1" customWidth="1"/>
    <col min="14860" max="15104" width="8.88671875" style="48"/>
    <col min="15105" max="15105" width="8.33203125" style="48" customWidth="1"/>
    <col min="15106" max="15106" width="7.88671875" style="48" customWidth="1"/>
    <col min="15107" max="15107" width="16.5546875" style="48" bestFit="1" customWidth="1"/>
    <col min="15108" max="15109" width="13.33203125" style="48" customWidth="1"/>
    <col min="15110" max="15110" width="12.88671875" style="48" customWidth="1"/>
    <col min="15111" max="15111" width="13.21875" style="48" customWidth="1"/>
    <col min="15112" max="15112" width="12.21875" style="48" bestFit="1" customWidth="1"/>
    <col min="15113" max="15113" width="12.109375" style="48" bestFit="1" customWidth="1"/>
    <col min="15114" max="15114" width="8.88671875" style="48"/>
    <col min="15115" max="15115" width="9.109375" style="48" bestFit="1" customWidth="1"/>
    <col min="15116" max="15360" width="8.88671875" style="48"/>
    <col min="15361" max="15361" width="8.33203125" style="48" customWidth="1"/>
    <col min="15362" max="15362" width="7.88671875" style="48" customWidth="1"/>
    <col min="15363" max="15363" width="16.5546875" style="48" bestFit="1" customWidth="1"/>
    <col min="15364" max="15365" width="13.33203125" style="48" customWidth="1"/>
    <col min="15366" max="15366" width="12.88671875" style="48" customWidth="1"/>
    <col min="15367" max="15367" width="13.21875" style="48" customWidth="1"/>
    <col min="15368" max="15368" width="12.21875" style="48" bestFit="1" customWidth="1"/>
    <col min="15369" max="15369" width="12.109375" style="48" bestFit="1" customWidth="1"/>
    <col min="15370" max="15370" width="8.88671875" style="48"/>
    <col min="15371" max="15371" width="9.109375" style="48" bestFit="1" customWidth="1"/>
    <col min="15372" max="15616" width="8.88671875" style="48"/>
    <col min="15617" max="15617" width="8.33203125" style="48" customWidth="1"/>
    <col min="15618" max="15618" width="7.88671875" style="48" customWidth="1"/>
    <col min="15619" max="15619" width="16.5546875" style="48" bestFit="1" customWidth="1"/>
    <col min="15620" max="15621" width="13.33203125" style="48" customWidth="1"/>
    <col min="15622" max="15622" width="12.88671875" style="48" customWidth="1"/>
    <col min="15623" max="15623" width="13.21875" style="48" customWidth="1"/>
    <col min="15624" max="15624" width="12.21875" style="48" bestFit="1" customWidth="1"/>
    <col min="15625" max="15625" width="12.109375" style="48" bestFit="1" customWidth="1"/>
    <col min="15626" max="15626" width="8.88671875" style="48"/>
    <col min="15627" max="15627" width="9.109375" style="48" bestFit="1" customWidth="1"/>
    <col min="15628" max="15872" width="8.88671875" style="48"/>
    <col min="15873" max="15873" width="8.33203125" style="48" customWidth="1"/>
    <col min="15874" max="15874" width="7.88671875" style="48" customWidth="1"/>
    <col min="15875" max="15875" width="16.5546875" style="48" bestFit="1" customWidth="1"/>
    <col min="15876" max="15877" width="13.33203125" style="48" customWidth="1"/>
    <col min="15878" max="15878" width="12.88671875" style="48" customWidth="1"/>
    <col min="15879" max="15879" width="13.21875" style="48" customWidth="1"/>
    <col min="15880" max="15880" width="12.21875" style="48" bestFit="1" customWidth="1"/>
    <col min="15881" max="15881" width="12.109375" style="48" bestFit="1" customWidth="1"/>
    <col min="15882" max="15882" width="8.88671875" style="48"/>
    <col min="15883" max="15883" width="9.109375" style="48" bestFit="1" customWidth="1"/>
    <col min="15884" max="16128" width="8.88671875" style="48"/>
    <col min="16129" max="16129" width="8.33203125" style="48" customWidth="1"/>
    <col min="16130" max="16130" width="7.88671875" style="48" customWidth="1"/>
    <col min="16131" max="16131" width="16.5546875" style="48" bestFit="1" customWidth="1"/>
    <col min="16132" max="16133" width="13.33203125" style="48" customWidth="1"/>
    <col min="16134" max="16134" width="12.88671875" style="48" customWidth="1"/>
    <col min="16135" max="16135" width="13.21875" style="48" customWidth="1"/>
    <col min="16136" max="16136" width="12.21875" style="48" bestFit="1" customWidth="1"/>
    <col min="16137" max="16137" width="12.109375" style="48" bestFit="1" customWidth="1"/>
    <col min="16138" max="16138" width="8.88671875" style="48"/>
    <col min="16139" max="16139" width="9.109375" style="48" bestFit="1" customWidth="1"/>
    <col min="16140" max="16384" width="8.88671875" style="48"/>
  </cols>
  <sheetData>
    <row r="1" spans="1:9" ht="20.100000000000001" customHeight="1">
      <c r="A1" s="47" t="s">
        <v>570</v>
      </c>
    </row>
    <row r="2" spans="1:9" ht="30" customHeight="1">
      <c r="A2" s="665" t="s">
        <v>571</v>
      </c>
      <c r="B2" s="665"/>
      <c r="C2" s="665"/>
      <c r="D2" s="665"/>
      <c r="E2" s="665"/>
      <c r="F2" s="665"/>
      <c r="G2" s="665"/>
    </row>
    <row r="3" spans="1:9" ht="21" customHeight="1">
      <c r="A3" s="49"/>
      <c r="B3" s="49"/>
      <c r="C3" s="49"/>
      <c r="D3" s="49"/>
      <c r="E3" s="49"/>
      <c r="F3" s="49"/>
      <c r="G3" s="50" t="s">
        <v>572</v>
      </c>
    </row>
    <row r="4" spans="1:9" s="52" customFormat="1" ht="18" customHeight="1">
      <c r="A4" s="517" t="s">
        <v>573</v>
      </c>
      <c r="B4" s="517" t="s">
        <v>574</v>
      </c>
      <c r="C4" s="517" t="s">
        <v>575</v>
      </c>
      <c r="D4" s="517" t="s">
        <v>576</v>
      </c>
      <c r="E4" s="517" t="s">
        <v>577</v>
      </c>
      <c r="F4" s="517" t="s">
        <v>578</v>
      </c>
      <c r="G4" s="517" t="s">
        <v>579</v>
      </c>
      <c r="H4" s="58"/>
    </row>
    <row r="5" spans="1:9" s="321" customFormat="1" ht="18" customHeight="1">
      <c r="A5" s="824" t="s">
        <v>580</v>
      </c>
      <c r="B5" s="827" t="s">
        <v>581</v>
      </c>
      <c r="C5" s="316" t="s">
        <v>582</v>
      </c>
      <c r="D5" s="73">
        <f t="shared" ref="D5:D15" si="0">$D$16*I5</f>
        <v>104746.8</v>
      </c>
      <c r="E5" s="73">
        <f>D5</f>
        <v>104746.8</v>
      </c>
      <c r="F5" s="73"/>
      <c r="G5" s="73"/>
      <c r="H5" s="336"/>
      <c r="I5" s="337">
        <v>0.03</v>
      </c>
    </row>
    <row r="6" spans="1:9" s="321" customFormat="1" ht="18" customHeight="1">
      <c r="A6" s="825"/>
      <c r="B6" s="828"/>
      <c r="C6" s="316" t="s">
        <v>583</v>
      </c>
      <c r="D6" s="73">
        <f t="shared" si="0"/>
        <v>680854.20000000007</v>
      </c>
      <c r="E6" s="73">
        <f t="shared" ref="E6:E15" si="1">D6</f>
        <v>680854.20000000007</v>
      </c>
      <c r="F6" s="73"/>
      <c r="G6" s="73"/>
      <c r="H6" s="336"/>
      <c r="I6" s="337">
        <v>0.19500000000000001</v>
      </c>
    </row>
    <row r="7" spans="1:9" s="321" customFormat="1" ht="18" customHeight="1">
      <c r="A7" s="825"/>
      <c r="B7" s="828"/>
      <c r="C7" s="316" t="s">
        <v>584</v>
      </c>
      <c r="D7" s="73">
        <f t="shared" si="0"/>
        <v>439936.56</v>
      </c>
      <c r="E7" s="73">
        <f t="shared" si="1"/>
        <v>439936.56</v>
      </c>
      <c r="F7" s="73"/>
      <c r="G7" s="73"/>
      <c r="H7" s="336"/>
      <c r="I7" s="337">
        <v>0.126</v>
      </c>
    </row>
    <row r="8" spans="1:9" s="321" customFormat="1" ht="18" customHeight="1">
      <c r="A8" s="825"/>
      <c r="B8" s="828"/>
      <c r="C8" s="316" t="s">
        <v>585</v>
      </c>
      <c r="D8" s="73">
        <f t="shared" si="0"/>
        <v>206002.03999999998</v>
      </c>
      <c r="E8" s="73">
        <f t="shared" si="1"/>
        <v>206002.03999999998</v>
      </c>
      <c r="F8" s="73"/>
      <c r="G8" s="73"/>
      <c r="H8" s="336"/>
      <c r="I8" s="337">
        <v>5.8999999999999997E-2</v>
      </c>
    </row>
    <row r="9" spans="1:9" s="321" customFormat="1" ht="18" customHeight="1">
      <c r="A9" s="825"/>
      <c r="B9" s="828"/>
      <c r="C9" s="316" t="s">
        <v>586</v>
      </c>
      <c r="D9" s="73">
        <f t="shared" si="0"/>
        <v>614514.55999999994</v>
      </c>
      <c r="E9" s="73">
        <f t="shared" si="1"/>
        <v>614514.55999999994</v>
      </c>
      <c r="F9" s="73"/>
      <c r="G9" s="73"/>
      <c r="H9" s="336"/>
      <c r="I9" s="337">
        <v>0.17599999999999999</v>
      </c>
    </row>
    <row r="10" spans="1:9" s="321" customFormat="1" ht="18" customHeight="1">
      <c r="A10" s="825"/>
      <c r="B10" s="828"/>
      <c r="C10" s="316" t="s">
        <v>587</v>
      </c>
      <c r="D10" s="73">
        <f t="shared" si="0"/>
        <v>824008.15999999992</v>
      </c>
      <c r="E10" s="73">
        <f t="shared" si="1"/>
        <v>824008.15999999992</v>
      </c>
      <c r="F10" s="73"/>
      <c r="G10" s="73"/>
      <c r="H10" s="336"/>
      <c r="I10" s="337">
        <v>0.23599999999999999</v>
      </c>
    </row>
    <row r="11" spans="1:9" s="321" customFormat="1" ht="18" customHeight="1">
      <c r="A11" s="825"/>
      <c r="B11" s="828"/>
      <c r="C11" s="316" t="s">
        <v>588</v>
      </c>
      <c r="D11" s="73">
        <f t="shared" si="0"/>
        <v>87289</v>
      </c>
      <c r="E11" s="73">
        <f>D11-F11</f>
        <v>87289</v>
      </c>
      <c r="F11" s="361"/>
      <c r="G11" s="73"/>
      <c r="H11" s="336"/>
      <c r="I11" s="337">
        <v>2.5000000000000001E-2</v>
      </c>
    </row>
    <row r="12" spans="1:9" s="321" customFormat="1" ht="18" customHeight="1">
      <c r="A12" s="825"/>
      <c r="B12" s="828"/>
      <c r="C12" s="316" t="s">
        <v>589</v>
      </c>
      <c r="D12" s="73">
        <f t="shared" si="0"/>
        <v>122204.6</v>
      </c>
      <c r="E12" s="73">
        <f t="shared" si="1"/>
        <v>122204.6</v>
      </c>
      <c r="F12" s="73"/>
      <c r="G12" s="73"/>
      <c r="H12" s="336"/>
      <c r="I12" s="337">
        <v>3.5000000000000003E-2</v>
      </c>
    </row>
    <row r="13" spans="1:9" s="321" customFormat="1" ht="18" customHeight="1">
      <c r="A13" s="825"/>
      <c r="B13" s="828"/>
      <c r="C13" s="316" t="s">
        <v>590</v>
      </c>
      <c r="D13" s="73">
        <f t="shared" si="0"/>
        <v>132679.28</v>
      </c>
      <c r="E13" s="73">
        <f t="shared" si="1"/>
        <v>132679.28</v>
      </c>
      <c r="F13" s="73"/>
      <c r="G13" s="73"/>
      <c r="H13" s="336"/>
      <c r="I13" s="337">
        <v>3.7999999999999999E-2</v>
      </c>
    </row>
    <row r="14" spans="1:9" s="321" customFormat="1" ht="18" customHeight="1">
      <c r="A14" s="825"/>
      <c r="B14" s="828"/>
      <c r="C14" s="316" t="s">
        <v>591</v>
      </c>
      <c r="D14" s="73">
        <f t="shared" si="0"/>
        <v>157120.19999999998</v>
      </c>
      <c r="E14" s="73">
        <f t="shared" si="1"/>
        <v>157120.19999999998</v>
      </c>
      <c r="F14" s="73"/>
      <c r="G14" s="73"/>
      <c r="H14" s="336"/>
      <c r="I14" s="337">
        <v>4.4999999999999998E-2</v>
      </c>
    </row>
    <row r="15" spans="1:9" s="321" customFormat="1" ht="18" customHeight="1">
      <c r="A15" s="825"/>
      <c r="B15" s="828"/>
      <c r="C15" s="316" t="s">
        <v>592</v>
      </c>
      <c r="D15" s="73">
        <f t="shared" si="0"/>
        <v>122204.6</v>
      </c>
      <c r="E15" s="73">
        <f t="shared" si="1"/>
        <v>122204.6</v>
      </c>
      <c r="F15" s="73"/>
      <c r="G15" s="73"/>
      <c r="H15" s="336"/>
      <c r="I15" s="337">
        <v>3.5000000000000003E-2</v>
      </c>
    </row>
    <row r="16" spans="1:9" s="321" customFormat="1" ht="18" customHeight="1">
      <c r="A16" s="825"/>
      <c r="B16" s="829"/>
      <c r="C16" s="384" t="s">
        <v>593</v>
      </c>
      <c r="D16" s="105">
        <f>+'2.산출총괄표(전기)'!D5</f>
        <v>3491560</v>
      </c>
      <c r="E16" s="105">
        <f>SUM(E5:E15)</f>
        <v>3491560.0000000005</v>
      </c>
      <c r="F16" s="105">
        <f>SUM(F5:F15)</f>
        <v>0</v>
      </c>
      <c r="G16" s="105">
        <f>'[22]구성현황표(건축)'!E61</f>
        <v>0</v>
      </c>
      <c r="H16" s="336"/>
      <c r="I16" s="350">
        <f>SUM(I5:I15)</f>
        <v>1</v>
      </c>
    </row>
    <row r="17" spans="1:8" s="52" customFormat="1" ht="18" customHeight="1">
      <c r="A17" s="825"/>
      <c r="B17" s="677" t="s">
        <v>594</v>
      </c>
      <c r="C17" s="316" t="s">
        <v>595</v>
      </c>
      <c r="D17" s="73">
        <f>+G17</f>
        <v>2444092</v>
      </c>
      <c r="E17" s="73">
        <f>'[22]구성현황표(건축)'!G5</f>
        <v>0</v>
      </c>
      <c r="F17" s="73">
        <f>'[22]구성현황표(건축)'!F5</f>
        <v>0</v>
      </c>
      <c r="G17" s="73">
        <v>2444092</v>
      </c>
      <c r="H17" s="58"/>
    </row>
    <row r="18" spans="1:8" s="52" customFormat="1" ht="18" customHeight="1">
      <c r="A18" s="825"/>
      <c r="B18" s="678"/>
      <c r="C18" s="316" t="s">
        <v>596</v>
      </c>
      <c r="D18" s="73">
        <f t="shared" ref="D18:D29" si="2">+G18</f>
        <v>814697</v>
      </c>
      <c r="E18" s="73">
        <f>'[22]구성현황표(건축)'!G6</f>
        <v>0</v>
      </c>
      <c r="F18" s="73">
        <f>'[22]구성현황표(건축)'!F6</f>
        <v>0</v>
      </c>
      <c r="G18" s="73">
        <v>814697</v>
      </c>
      <c r="H18" s="58"/>
    </row>
    <row r="19" spans="1:8" s="52" customFormat="1" ht="18" customHeight="1">
      <c r="A19" s="825"/>
      <c r="B19" s="678"/>
      <c r="C19" s="317" t="s">
        <v>597</v>
      </c>
      <c r="D19" s="73">
        <f t="shared" si="2"/>
        <v>0</v>
      </c>
      <c r="E19" s="73">
        <f>'[22]구성현황표(건축)'!G7</f>
        <v>0</v>
      </c>
      <c r="F19" s="73">
        <f>'[22]구성현황표(건축)'!F7</f>
        <v>0</v>
      </c>
      <c r="G19" s="73">
        <v>0</v>
      </c>
      <c r="H19" s="58"/>
    </row>
    <row r="20" spans="1:8" s="52" customFormat="1" ht="18" customHeight="1">
      <c r="A20" s="825"/>
      <c r="B20" s="678"/>
      <c r="C20" s="316" t="s">
        <v>598</v>
      </c>
      <c r="D20" s="73">
        <f t="shared" si="2"/>
        <v>0</v>
      </c>
      <c r="E20" s="73">
        <f>'[22]구성현황표(건축)'!G8</f>
        <v>0</v>
      </c>
      <c r="F20" s="73">
        <f>'[22]구성현황표(건축)'!F8</f>
        <v>0</v>
      </c>
      <c r="G20" s="73">
        <v>0</v>
      </c>
      <c r="H20" s="58"/>
    </row>
    <row r="21" spans="1:8" s="52" customFormat="1" ht="18" customHeight="1">
      <c r="A21" s="825"/>
      <c r="B21" s="678"/>
      <c r="C21" s="316" t="s">
        <v>599</v>
      </c>
      <c r="D21" s="73">
        <f t="shared" si="2"/>
        <v>0</v>
      </c>
      <c r="E21" s="73">
        <f>'[22]구성현황표(건축)'!G9</f>
        <v>0</v>
      </c>
      <c r="F21" s="73">
        <f>'[22]구성현황표(건축)'!F9</f>
        <v>0</v>
      </c>
      <c r="G21" s="73">
        <v>0</v>
      </c>
      <c r="H21" s="58"/>
    </row>
    <row r="22" spans="1:8" s="52" customFormat="1" ht="18" customHeight="1">
      <c r="A22" s="825"/>
      <c r="B22" s="678"/>
      <c r="C22" s="316" t="s">
        <v>600</v>
      </c>
      <c r="D22" s="73">
        <f t="shared" si="2"/>
        <v>58193</v>
      </c>
      <c r="E22" s="73">
        <f>'[22]구성현황표(건축)'!G10</f>
        <v>0</v>
      </c>
      <c r="F22" s="73">
        <f>'[22]구성현황표(건축)'!F10</f>
        <v>0</v>
      </c>
      <c r="G22" s="73">
        <v>58193</v>
      </c>
      <c r="H22" s="58"/>
    </row>
    <row r="23" spans="1:8" s="52" customFormat="1" ht="18" customHeight="1">
      <c r="A23" s="825"/>
      <c r="B23" s="678"/>
      <c r="C23" s="316" t="s">
        <v>601</v>
      </c>
      <c r="D23" s="73">
        <f t="shared" si="2"/>
        <v>0</v>
      </c>
      <c r="E23" s="73">
        <f>'[22]구성현황표(건축)'!G11</f>
        <v>0</v>
      </c>
      <c r="F23" s="73">
        <f>'[22]구성현황표(건축)'!F11</f>
        <v>0</v>
      </c>
      <c r="G23" s="73">
        <v>0</v>
      </c>
      <c r="H23" s="58"/>
    </row>
    <row r="24" spans="1:8" s="52" customFormat="1" ht="18" customHeight="1">
      <c r="A24" s="825"/>
      <c r="B24" s="678"/>
      <c r="C24" s="317" t="s">
        <v>602</v>
      </c>
      <c r="D24" s="73">
        <f t="shared" si="2"/>
        <v>0</v>
      </c>
      <c r="E24" s="73">
        <f>'[22]구성현황표(건축)'!G12</f>
        <v>0</v>
      </c>
      <c r="F24" s="73">
        <f>'[22]구성현황표(건축)'!F12</f>
        <v>0</v>
      </c>
      <c r="G24" s="73">
        <v>0</v>
      </c>
      <c r="H24" s="58"/>
    </row>
    <row r="25" spans="1:8" s="52" customFormat="1" ht="18" customHeight="1">
      <c r="A25" s="825"/>
      <c r="B25" s="678"/>
      <c r="C25" s="316" t="s">
        <v>603</v>
      </c>
      <c r="D25" s="73">
        <f t="shared" si="2"/>
        <v>0</v>
      </c>
      <c r="E25" s="73">
        <f>'[22]구성현황표(건축)'!G13</f>
        <v>0</v>
      </c>
      <c r="F25" s="73">
        <f>'[22]구성현황표(건축)'!F13</f>
        <v>0</v>
      </c>
      <c r="G25" s="73">
        <v>0</v>
      </c>
      <c r="H25" s="58"/>
    </row>
    <row r="26" spans="1:8" s="52" customFormat="1" ht="18" customHeight="1">
      <c r="A26" s="825"/>
      <c r="B26" s="678"/>
      <c r="C26" s="317" t="s">
        <v>604</v>
      </c>
      <c r="D26" s="73">
        <f t="shared" si="2"/>
        <v>0</v>
      </c>
      <c r="E26" s="73">
        <f>'[22]구성현황표(건축)'!G14</f>
        <v>0</v>
      </c>
      <c r="F26" s="73">
        <f>'[22]구성현황표(건축)'!F14</f>
        <v>0</v>
      </c>
      <c r="G26" s="73">
        <v>0</v>
      </c>
      <c r="H26" s="58"/>
    </row>
    <row r="27" spans="1:8" s="52" customFormat="1" ht="18" customHeight="1">
      <c r="A27" s="825"/>
      <c r="B27" s="678"/>
      <c r="C27" s="317" t="s">
        <v>605</v>
      </c>
      <c r="D27" s="73">
        <f t="shared" si="2"/>
        <v>0</v>
      </c>
      <c r="E27" s="73">
        <f>'[22]구성현황표(건축)'!G15</f>
        <v>0</v>
      </c>
      <c r="F27" s="73">
        <f>'[22]구성현황표(건축)'!F15</f>
        <v>0</v>
      </c>
      <c r="G27" s="73">
        <v>0</v>
      </c>
      <c r="H27" s="58"/>
    </row>
    <row r="28" spans="1:8" s="52" customFormat="1" ht="18" customHeight="1">
      <c r="A28" s="825"/>
      <c r="B28" s="678"/>
      <c r="C28" s="316" t="s">
        <v>606</v>
      </c>
      <c r="D28" s="73">
        <f t="shared" si="2"/>
        <v>232771</v>
      </c>
      <c r="E28" s="73">
        <f>'[22]구성현황표(건축)'!G16</f>
        <v>0</v>
      </c>
      <c r="F28" s="73">
        <f>'[22]구성현황표(건축)'!F16</f>
        <v>0</v>
      </c>
      <c r="G28" s="73">
        <v>232771</v>
      </c>
      <c r="H28" s="58"/>
    </row>
    <row r="29" spans="1:8" s="52" customFormat="1" ht="18" customHeight="1">
      <c r="A29" s="825"/>
      <c r="B29" s="678"/>
      <c r="C29" s="316" t="s">
        <v>607</v>
      </c>
      <c r="D29" s="73">
        <f t="shared" si="2"/>
        <v>465541</v>
      </c>
      <c r="E29" s="73">
        <f>'[22]구성현황표(건축)'!G17</f>
        <v>0</v>
      </c>
      <c r="F29" s="73">
        <f>'[22]구성현황표(건축)'!F17</f>
        <v>0</v>
      </c>
      <c r="G29" s="73">
        <v>465541</v>
      </c>
      <c r="H29" s="58"/>
    </row>
    <row r="30" spans="1:8" s="52" customFormat="1" ht="18" customHeight="1">
      <c r="A30" s="825"/>
      <c r="B30" s="678"/>
      <c r="C30" s="316"/>
      <c r="D30" s="73"/>
      <c r="E30" s="73"/>
      <c r="F30" s="73"/>
      <c r="G30" s="73"/>
      <c r="H30" s="58"/>
    </row>
    <row r="31" spans="1:8" s="52" customFormat="1" ht="18" customHeight="1">
      <c r="A31" s="826"/>
      <c r="B31" s="679"/>
      <c r="C31" s="318" t="s">
        <v>608</v>
      </c>
      <c r="D31" s="105">
        <f>SUM(D17:D30)</f>
        <v>4015294</v>
      </c>
      <c r="E31" s="105">
        <f>SUM(E17:E30)</f>
        <v>0</v>
      </c>
      <c r="F31" s="105">
        <f>SUM(F17:F30)</f>
        <v>0</v>
      </c>
      <c r="G31" s="105">
        <f>SUM(G17:G30)</f>
        <v>4015294</v>
      </c>
      <c r="H31" s="58"/>
    </row>
    <row r="32" spans="1:8" s="52" customFormat="1" ht="18" customHeight="1">
      <c r="A32" s="677" t="s">
        <v>580</v>
      </c>
      <c r="B32" s="677" t="s">
        <v>609</v>
      </c>
      <c r="C32" s="316" t="s">
        <v>610</v>
      </c>
      <c r="D32" s="73">
        <f t="shared" ref="D32:D54" si="3">+G32</f>
        <v>1745780</v>
      </c>
      <c r="E32" s="73">
        <f>'[22]구성현황표(건축)'!G20</f>
        <v>0</v>
      </c>
      <c r="F32" s="73">
        <f>'[22]구성현황표(건축)'!F20</f>
        <v>0</v>
      </c>
      <c r="G32" s="73">
        <v>1745780</v>
      </c>
      <c r="H32" s="58"/>
    </row>
    <row r="33" spans="1:8" s="52" customFormat="1" ht="18" customHeight="1">
      <c r="A33" s="678"/>
      <c r="B33" s="678"/>
      <c r="C33" s="316" t="s">
        <v>611</v>
      </c>
      <c r="D33" s="73">
        <f t="shared" si="3"/>
        <v>465541</v>
      </c>
      <c r="E33" s="73">
        <f>'[22]구성현황표(건축)'!G21</f>
        <v>0</v>
      </c>
      <c r="F33" s="73">
        <f>'[22]구성현황표(건축)'!F21</f>
        <v>0</v>
      </c>
      <c r="G33" s="73">
        <v>465541</v>
      </c>
      <c r="H33" s="58"/>
    </row>
    <row r="34" spans="1:8" s="52" customFormat="1" ht="18" customHeight="1">
      <c r="A34" s="678"/>
      <c r="B34" s="678"/>
      <c r="C34" s="316" t="s">
        <v>612</v>
      </c>
      <c r="D34" s="73">
        <f t="shared" si="3"/>
        <v>5470111</v>
      </c>
      <c r="E34" s="73">
        <f>'[22]구성현황표(건축)'!G22</f>
        <v>0</v>
      </c>
      <c r="F34" s="73">
        <f>'[22]구성현황표(건축)'!F22</f>
        <v>0</v>
      </c>
      <c r="G34" s="73">
        <v>5470111</v>
      </c>
      <c r="H34" s="58"/>
    </row>
    <row r="35" spans="1:8" s="52" customFormat="1" ht="18" customHeight="1">
      <c r="A35" s="678"/>
      <c r="B35" s="678"/>
      <c r="C35" s="316" t="s">
        <v>613</v>
      </c>
      <c r="D35" s="73">
        <f t="shared" si="3"/>
        <v>1862166</v>
      </c>
      <c r="E35" s="73">
        <f>'[22]구성현황표(건축)'!G23</f>
        <v>0</v>
      </c>
      <c r="F35" s="73">
        <f>'[22]구성현황표(건축)'!F23</f>
        <v>0</v>
      </c>
      <c r="G35" s="73">
        <v>1862166</v>
      </c>
      <c r="H35" s="58"/>
    </row>
    <row r="36" spans="1:8" s="52" customFormat="1" ht="18" customHeight="1">
      <c r="A36" s="678"/>
      <c r="B36" s="678"/>
      <c r="C36" s="316" t="s">
        <v>614</v>
      </c>
      <c r="D36" s="73">
        <f t="shared" si="3"/>
        <v>12627810</v>
      </c>
      <c r="E36" s="73">
        <f>'[22]구성현황표(건축)'!G24</f>
        <v>0</v>
      </c>
      <c r="F36" s="73">
        <f>'[22]구성현황표(건축)'!F24</f>
        <v>0</v>
      </c>
      <c r="G36" s="73">
        <v>12627810</v>
      </c>
      <c r="H36" s="58"/>
    </row>
    <row r="37" spans="1:8" s="52" customFormat="1" ht="18" customHeight="1">
      <c r="A37" s="678"/>
      <c r="B37" s="678"/>
      <c r="C37" s="316" t="s">
        <v>615</v>
      </c>
      <c r="D37" s="73">
        <f t="shared" si="3"/>
        <v>0</v>
      </c>
      <c r="E37" s="73">
        <f>'[22]구성현황표(건축)'!G25</f>
        <v>0</v>
      </c>
      <c r="F37" s="73">
        <f>'[22]구성현황표(건축)'!F25</f>
        <v>0</v>
      </c>
      <c r="G37" s="73">
        <v>0</v>
      </c>
      <c r="H37" s="58"/>
    </row>
    <row r="38" spans="1:8" s="52" customFormat="1" ht="18" customHeight="1">
      <c r="A38" s="678"/>
      <c r="B38" s="678"/>
      <c r="C38" s="316" t="s">
        <v>616</v>
      </c>
      <c r="D38" s="73">
        <f t="shared" si="3"/>
        <v>465541</v>
      </c>
      <c r="E38" s="73">
        <f>'[22]구성현황표(건축)'!G26</f>
        <v>0</v>
      </c>
      <c r="F38" s="73">
        <f>'[22]구성현황표(건축)'!F26</f>
        <v>0</v>
      </c>
      <c r="G38" s="73">
        <v>465541</v>
      </c>
      <c r="H38" s="58"/>
    </row>
    <row r="39" spans="1:8" s="52" customFormat="1" ht="18" customHeight="1">
      <c r="A39" s="678"/>
      <c r="B39" s="678"/>
      <c r="C39" s="316" t="s">
        <v>617</v>
      </c>
      <c r="D39" s="73">
        <f t="shared" si="3"/>
        <v>1163853</v>
      </c>
      <c r="E39" s="73">
        <f>'[22]구성현황표(건축)'!G27</f>
        <v>0</v>
      </c>
      <c r="F39" s="73">
        <f>'[22]구성현황표(건축)'!F27</f>
        <v>0</v>
      </c>
      <c r="G39" s="73">
        <v>1163853</v>
      </c>
      <c r="H39" s="58"/>
    </row>
    <row r="40" spans="1:8" s="52" customFormat="1" ht="18" customHeight="1">
      <c r="A40" s="678"/>
      <c r="B40" s="678"/>
      <c r="C40" s="316" t="s">
        <v>618</v>
      </c>
      <c r="D40" s="73">
        <f t="shared" si="3"/>
        <v>116385</v>
      </c>
      <c r="E40" s="73">
        <f>'[22]구성현황표(건축)'!G28</f>
        <v>0</v>
      </c>
      <c r="F40" s="73">
        <f>'[22]구성현황표(건축)'!F28</f>
        <v>0</v>
      </c>
      <c r="G40" s="73">
        <v>116385</v>
      </c>
      <c r="H40" s="58"/>
    </row>
    <row r="41" spans="1:8" s="52" customFormat="1" ht="18" customHeight="1">
      <c r="A41" s="678"/>
      <c r="B41" s="678"/>
      <c r="C41" s="316" t="s">
        <v>619</v>
      </c>
      <c r="D41" s="73">
        <f t="shared" si="3"/>
        <v>465541</v>
      </c>
      <c r="E41" s="73">
        <f>'[22]구성현황표(건축)'!G29</f>
        <v>0</v>
      </c>
      <c r="F41" s="73">
        <f>'[22]구성현황표(건축)'!F29</f>
        <v>0</v>
      </c>
      <c r="G41" s="73">
        <v>465541</v>
      </c>
      <c r="H41" s="58"/>
    </row>
    <row r="42" spans="1:8" s="52" customFormat="1" ht="18" customHeight="1">
      <c r="A42" s="678"/>
      <c r="B42" s="678"/>
      <c r="C42" s="316" t="s">
        <v>620</v>
      </c>
      <c r="D42" s="73">
        <f t="shared" si="3"/>
        <v>290963</v>
      </c>
      <c r="E42" s="73">
        <f>'[22]구성현황표(건축)'!G30</f>
        <v>0</v>
      </c>
      <c r="F42" s="73">
        <f>'[22]구성현황표(건축)'!F30</f>
        <v>0</v>
      </c>
      <c r="G42" s="73">
        <v>290963</v>
      </c>
      <c r="H42" s="58"/>
    </row>
    <row r="43" spans="1:8" s="52" customFormat="1" ht="18" customHeight="1">
      <c r="A43" s="678"/>
      <c r="B43" s="678"/>
      <c r="C43" s="316" t="s">
        <v>621</v>
      </c>
      <c r="D43" s="73">
        <f t="shared" si="3"/>
        <v>931083</v>
      </c>
      <c r="E43" s="73">
        <f>'[22]구성현황표(건축)'!G31</f>
        <v>0</v>
      </c>
      <c r="F43" s="73">
        <f>'[22]구성현황표(건축)'!F31</f>
        <v>0</v>
      </c>
      <c r="G43" s="73">
        <v>931083</v>
      </c>
      <c r="H43" s="58"/>
    </row>
    <row r="44" spans="1:8" s="52" customFormat="1" ht="18" customHeight="1">
      <c r="A44" s="678"/>
      <c r="B44" s="678"/>
      <c r="C44" s="316" t="s">
        <v>622</v>
      </c>
      <c r="D44" s="73">
        <f t="shared" si="3"/>
        <v>931083</v>
      </c>
      <c r="E44" s="73">
        <f>'[22]구성현황표(건축)'!G32</f>
        <v>0</v>
      </c>
      <c r="F44" s="73">
        <f>'[22]구성현황표(건축)'!F32</f>
        <v>0</v>
      </c>
      <c r="G44" s="73">
        <v>931083</v>
      </c>
      <c r="H44" s="58"/>
    </row>
    <row r="45" spans="1:8" s="52" customFormat="1" ht="18" customHeight="1">
      <c r="A45" s="678"/>
      <c r="B45" s="678"/>
      <c r="C45" s="316" t="s">
        <v>623</v>
      </c>
      <c r="D45" s="73">
        <f t="shared" si="3"/>
        <v>349156</v>
      </c>
      <c r="E45" s="73">
        <f>'[22]구성현황표(건축)'!G33</f>
        <v>0</v>
      </c>
      <c r="F45" s="73">
        <f>'[22]구성현황표(건축)'!F33</f>
        <v>0</v>
      </c>
      <c r="G45" s="73">
        <v>349156</v>
      </c>
      <c r="H45" s="58"/>
    </row>
    <row r="46" spans="1:8" s="52" customFormat="1" ht="18" customHeight="1">
      <c r="A46" s="678"/>
      <c r="B46" s="678"/>
      <c r="C46" s="316" t="s">
        <v>624</v>
      </c>
      <c r="D46" s="73">
        <f t="shared" si="3"/>
        <v>1163853</v>
      </c>
      <c r="E46" s="73">
        <f>'[22]구성현황표(건축)'!G34</f>
        <v>0</v>
      </c>
      <c r="F46" s="73">
        <f>'[22]구성현황표(건축)'!F34</f>
        <v>0</v>
      </c>
      <c r="G46" s="73">
        <v>1163853</v>
      </c>
      <c r="H46" s="58"/>
    </row>
    <row r="47" spans="1:8" s="52" customFormat="1" ht="18" customHeight="1">
      <c r="A47" s="678"/>
      <c r="B47" s="678"/>
      <c r="C47" s="316" t="s">
        <v>625</v>
      </c>
      <c r="D47" s="73">
        <f t="shared" si="3"/>
        <v>349156</v>
      </c>
      <c r="E47" s="73">
        <f>'[22]구성현황표(건축)'!G35</f>
        <v>0</v>
      </c>
      <c r="F47" s="73">
        <f>'[22]구성현황표(건축)'!F35</f>
        <v>0</v>
      </c>
      <c r="G47" s="73">
        <v>349156</v>
      </c>
      <c r="H47" s="58"/>
    </row>
    <row r="48" spans="1:8" s="52" customFormat="1" ht="18" customHeight="1">
      <c r="A48" s="678"/>
      <c r="B48" s="678"/>
      <c r="C48" s="316" t="s">
        <v>626</v>
      </c>
      <c r="D48" s="73">
        <f t="shared" si="3"/>
        <v>698312</v>
      </c>
      <c r="E48" s="73">
        <f>'[22]구성현황표(건축)'!G36</f>
        <v>0</v>
      </c>
      <c r="F48" s="73">
        <f>'[22]구성현황표(건축)'!F36</f>
        <v>0</v>
      </c>
      <c r="G48" s="73">
        <v>698312</v>
      </c>
      <c r="H48" s="58"/>
    </row>
    <row r="49" spans="1:8" s="52" customFormat="1" ht="18" customHeight="1">
      <c r="A49" s="678"/>
      <c r="B49" s="678"/>
      <c r="C49" s="319" t="s">
        <v>627</v>
      </c>
      <c r="D49" s="73">
        <f t="shared" si="3"/>
        <v>581927</v>
      </c>
      <c r="E49" s="73">
        <f>'[22]구성현황표(건축)'!G37</f>
        <v>0</v>
      </c>
      <c r="F49" s="73">
        <f>'[22]구성현황표(건축)'!F37</f>
        <v>0</v>
      </c>
      <c r="G49" s="73">
        <v>581927</v>
      </c>
      <c r="H49" s="58"/>
    </row>
    <row r="50" spans="1:8" s="52" customFormat="1" ht="18" customHeight="1">
      <c r="A50" s="678"/>
      <c r="B50" s="678"/>
      <c r="C50" s="316" t="s">
        <v>628</v>
      </c>
      <c r="D50" s="73">
        <f t="shared" si="3"/>
        <v>640119</v>
      </c>
      <c r="E50" s="73">
        <f>'[22]구성현황표(건축)'!G38</f>
        <v>0</v>
      </c>
      <c r="F50" s="73">
        <f>'[22]구성현황표(건축)'!F38</f>
        <v>0</v>
      </c>
      <c r="G50" s="73">
        <v>640119</v>
      </c>
      <c r="H50" s="58"/>
    </row>
    <row r="51" spans="1:8" s="52" customFormat="1" ht="18" customHeight="1">
      <c r="A51" s="678"/>
      <c r="B51" s="678"/>
      <c r="C51" s="316" t="s">
        <v>629</v>
      </c>
      <c r="D51" s="73">
        <f t="shared" si="3"/>
        <v>174578</v>
      </c>
      <c r="E51" s="73">
        <f>'[22]구성현황표(건축)'!G39</f>
        <v>0</v>
      </c>
      <c r="F51" s="73">
        <f>'[22]구성현황표(건축)'!F39</f>
        <v>0</v>
      </c>
      <c r="G51" s="73">
        <v>174578</v>
      </c>
      <c r="H51" s="58"/>
    </row>
    <row r="52" spans="1:8" s="52" customFormat="1" ht="18" customHeight="1">
      <c r="A52" s="678"/>
      <c r="B52" s="678"/>
      <c r="C52" s="316" t="s">
        <v>630</v>
      </c>
      <c r="D52" s="73">
        <f t="shared" si="3"/>
        <v>407349</v>
      </c>
      <c r="E52" s="73">
        <f>'[22]구성현황표(건축)'!G40</f>
        <v>0</v>
      </c>
      <c r="F52" s="73">
        <f>'[22]구성현황표(건축)'!F40</f>
        <v>0</v>
      </c>
      <c r="G52" s="73">
        <v>407349</v>
      </c>
      <c r="H52" s="58"/>
    </row>
    <row r="53" spans="1:8" s="52" customFormat="1" ht="18" customHeight="1">
      <c r="A53" s="678"/>
      <c r="B53" s="678"/>
      <c r="C53" s="316" t="s">
        <v>631</v>
      </c>
      <c r="D53" s="73">
        <f t="shared" si="3"/>
        <v>1047468</v>
      </c>
      <c r="E53" s="73">
        <f>'[22]구성현황표(건축)'!G41</f>
        <v>0</v>
      </c>
      <c r="F53" s="73">
        <f>'[22]구성현황표(건축)'!F41</f>
        <v>0</v>
      </c>
      <c r="G53" s="73">
        <v>1047468</v>
      </c>
      <c r="H53" s="58"/>
    </row>
    <row r="54" spans="1:8" s="52" customFormat="1" ht="18" customHeight="1">
      <c r="A54" s="678"/>
      <c r="B54" s="678"/>
      <c r="C54" s="319" t="s">
        <v>632</v>
      </c>
      <c r="D54" s="73">
        <f t="shared" si="3"/>
        <v>349156</v>
      </c>
      <c r="E54" s="73">
        <f>'[22]구성현황표(건축)'!G42</f>
        <v>0</v>
      </c>
      <c r="F54" s="73">
        <f>'[22]구성현황표(건축)'!F42</f>
        <v>0</v>
      </c>
      <c r="G54" s="73">
        <v>349156</v>
      </c>
      <c r="H54" s="58"/>
    </row>
    <row r="55" spans="1:8" s="52" customFormat="1" ht="18" customHeight="1">
      <c r="A55" s="678"/>
      <c r="B55" s="679"/>
      <c r="C55" s="318" t="s">
        <v>608</v>
      </c>
      <c r="D55" s="105">
        <f>SUM(D32:D54)</f>
        <v>32296931</v>
      </c>
      <c r="E55" s="105">
        <f>SUM(E32:E54)</f>
        <v>0</v>
      </c>
      <c r="F55" s="105">
        <f>SUM(F32:F54)</f>
        <v>0</v>
      </c>
      <c r="G55" s="105">
        <f>SUM(G32:G54)</f>
        <v>32296931</v>
      </c>
      <c r="H55" s="58"/>
    </row>
    <row r="56" spans="1:8" s="52" customFormat="1" ht="18" customHeight="1">
      <c r="A56" s="678"/>
      <c r="B56" s="677" t="s">
        <v>633</v>
      </c>
      <c r="C56" s="316" t="s">
        <v>634</v>
      </c>
      <c r="D56" s="73">
        <f t="shared" ref="D56:D64" si="4">+G56</f>
        <v>836927</v>
      </c>
      <c r="E56" s="73">
        <f>'[22]구성현황표(건축)'!G49</f>
        <v>0</v>
      </c>
      <c r="F56" s="73">
        <f>'[22]구성현황표(건축)'!F49</f>
        <v>0</v>
      </c>
      <c r="G56" s="73">
        <v>836927</v>
      </c>
      <c r="H56" s="58"/>
    </row>
    <row r="57" spans="1:8" s="52" customFormat="1" ht="18" customHeight="1">
      <c r="A57" s="678"/>
      <c r="B57" s="678"/>
      <c r="C57" s="316" t="s">
        <v>635</v>
      </c>
      <c r="D57" s="73">
        <f t="shared" si="4"/>
        <v>94970</v>
      </c>
      <c r="E57" s="73">
        <f>'[22]구성현황표(건축)'!G50</f>
        <v>0</v>
      </c>
      <c r="F57" s="73">
        <f>'[22]구성현황표(건축)'!F50</f>
        <v>0</v>
      </c>
      <c r="G57" s="73">
        <v>94970</v>
      </c>
      <c r="H57" s="58"/>
    </row>
    <row r="58" spans="1:8" s="52" customFormat="1" ht="18" customHeight="1">
      <c r="A58" s="678"/>
      <c r="B58" s="678"/>
      <c r="C58" s="320" t="s">
        <v>636</v>
      </c>
      <c r="D58" s="73">
        <f t="shared" si="4"/>
        <v>1288037</v>
      </c>
      <c r="E58" s="73">
        <f>'[22]구성현황표(건축)'!G51</f>
        <v>0</v>
      </c>
      <c r="F58" s="73">
        <f>'[22]구성현황표(건축)'!F51</f>
        <v>0</v>
      </c>
      <c r="G58" s="73">
        <v>1288037</v>
      </c>
      <c r="H58" s="58"/>
    </row>
    <row r="59" spans="1:8" s="52" customFormat="1" ht="18" customHeight="1">
      <c r="A59" s="678"/>
      <c r="B59" s="678"/>
      <c r="C59" s="316" t="s">
        <v>637</v>
      </c>
      <c r="D59" s="73">
        <f t="shared" si="4"/>
        <v>789442</v>
      </c>
      <c r="E59" s="73">
        <f>'[22]구성현황표(건축)'!G52</f>
        <v>0</v>
      </c>
      <c r="F59" s="73">
        <f>'[22]구성현황표(건축)'!F52</f>
        <v>0</v>
      </c>
      <c r="G59" s="73">
        <v>789442</v>
      </c>
      <c r="H59" s="58"/>
    </row>
    <row r="60" spans="1:8" s="52" customFormat="1" ht="18" customHeight="1">
      <c r="A60" s="678"/>
      <c r="B60" s="678"/>
      <c r="C60" s="316" t="s">
        <v>638</v>
      </c>
      <c r="D60" s="73">
        <f t="shared" si="4"/>
        <v>985318</v>
      </c>
      <c r="E60" s="73">
        <f>'[22]구성현황표(건축)'!G53</f>
        <v>0</v>
      </c>
      <c r="F60" s="73">
        <f>'[22]구성현황표(건축)'!F53</f>
        <v>0</v>
      </c>
      <c r="G60" s="73">
        <v>985318</v>
      </c>
      <c r="H60" s="58"/>
    </row>
    <row r="61" spans="1:8" s="52" customFormat="1" ht="18" customHeight="1">
      <c r="A61" s="678"/>
      <c r="B61" s="678"/>
      <c r="C61" s="316" t="s">
        <v>639</v>
      </c>
      <c r="D61" s="73">
        <f t="shared" si="4"/>
        <v>676664</v>
      </c>
      <c r="E61" s="73">
        <f>'[22]구성현황표(건축)'!G54</f>
        <v>0</v>
      </c>
      <c r="F61" s="73">
        <f>'[22]구성현황표(건축)'!F54</f>
        <v>0</v>
      </c>
      <c r="G61" s="73">
        <v>676664</v>
      </c>
      <c r="H61" s="58"/>
    </row>
    <row r="62" spans="1:8" s="52" customFormat="1" ht="18" customHeight="1">
      <c r="A62" s="678"/>
      <c r="B62" s="678"/>
      <c r="C62" s="316" t="s">
        <v>640</v>
      </c>
      <c r="D62" s="73">
        <f t="shared" si="4"/>
        <v>213683</v>
      </c>
      <c r="E62" s="73">
        <f>'[22]구성현황표(건축)'!G55</f>
        <v>0</v>
      </c>
      <c r="F62" s="73">
        <f>'[22]구성현황표(건축)'!F55</f>
        <v>0</v>
      </c>
      <c r="G62" s="73">
        <v>213683</v>
      </c>
      <c r="H62" s="58"/>
    </row>
    <row r="63" spans="1:8" s="52" customFormat="1" ht="18" customHeight="1">
      <c r="A63" s="678"/>
      <c r="B63" s="678"/>
      <c r="C63" s="316" t="s">
        <v>641</v>
      </c>
      <c r="D63" s="73">
        <f t="shared" si="4"/>
        <v>166198</v>
      </c>
      <c r="E63" s="73">
        <f>'[22]구성현황표(건축)'!G56</f>
        <v>0</v>
      </c>
      <c r="F63" s="73">
        <f>'[22]구성현황표(건축)'!F56</f>
        <v>0</v>
      </c>
      <c r="G63" s="73">
        <v>166198</v>
      </c>
      <c r="H63" s="58"/>
    </row>
    <row r="64" spans="1:8" s="52" customFormat="1" ht="18" customHeight="1">
      <c r="A64" s="678"/>
      <c r="B64" s="678"/>
      <c r="C64" s="316" t="s">
        <v>642</v>
      </c>
      <c r="D64" s="73">
        <f t="shared" si="4"/>
        <v>884412</v>
      </c>
      <c r="E64" s="73">
        <f>'[22]구성현황표(건축)'!G57</f>
        <v>0</v>
      </c>
      <c r="F64" s="73">
        <f>'[22]구성현황표(건축)'!F57</f>
        <v>0</v>
      </c>
      <c r="G64" s="73">
        <v>884412</v>
      </c>
      <c r="H64" s="58"/>
    </row>
    <row r="65" spans="1:11" s="52" customFormat="1" ht="18" customHeight="1">
      <c r="A65" s="678"/>
      <c r="B65" s="679"/>
      <c r="C65" s="318" t="s">
        <v>643</v>
      </c>
      <c r="D65" s="105">
        <f>SUM(D56:D64)</f>
        <v>5935651</v>
      </c>
      <c r="E65" s="105">
        <f>SUM(E56:E64)</f>
        <v>0</v>
      </c>
      <c r="F65" s="105">
        <f>SUM(F56:F64)</f>
        <v>0</v>
      </c>
      <c r="G65" s="105">
        <f>SUM(G56:G64)</f>
        <v>5935651</v>
      </c>
      <c r="H65" s="58"/>
    </row>
    <row r="66" spans="1:11" s="52" customFormat="1" ht="18" customHeight="1">
      <c r="A66" s="678"/>
      <c r="B66" s="830" t="s">
        <v>645</v>
      </c>
      <c r="C66" s="830"/>
      <c r="D66" s="73">
        <f t="shared" ref="D66:D67" si="5">+G66</f>
        <v>1920358</v>
      </c>
      <c r="E66" s="516"/>
      <c r="F66" s="73">
        <f>'[22]구성현황표(건축)'!F62</f>
        <v>0</v>
      </c>
      <c r="G66" s="73">
        <f>+'3.구성현황표(건축)'!G62</f>
        <v>1920358</v>
      </c>
      <c r="H66" s="58"/>
    </row>
    <row r="67" spans="1:11" s="52" customFormat="1" ht="18" customHeight="1">
      <c r="A67" s="679"/>
      <c r="B67" s="830" t="s">
        <v>646</v>
      </c>
      <c r="C67" s="830"/>
      <c r="D67" s="73">
        <f t="shared" si="5"/>
        <v>2496466</v>
      </c>
      <c r="E67" s="500"/>
      <c r="F67" s="501">
        <f>'[22]구성현황표(건축)'!F63</f>
        <v>0</v>
      </c>
      <c r="G67" s="501">
        <f>+'3.구성현황표(건축)'!G63</f>
        <v>2496466</v>
      </c>
      <c r="H67" s="58"/>
    </row>
    <row r="68" spans="1:11" s="52" customFormat="1" ht="18" customHeight="1">
      <c r="A68" s="661" t="s">
        <v>647</v>
      </c>
      <c r="B68" s="661"/>
      <c r="C68" s="661"/>
      <c r="D68" s="73">
        <f>+E68+F68+G68</f>
        <v>6756169</v>
      </c>
      <c r="E68" s="73">
        <f>ROUND(E16*H68,0)</f>
        <v>470322</v>
      </c>
      <c r="F68" s="73">
        <f>ROUND(SUM(F65:F67,F55,F31,F16)*H68,0)</f>
        <v>0</v>
      </c>
      <c r="G68" s="73">
        <f>ROUND(SUM(G65:G67,G55,G31,G16)*H68,0)</f>
        <v>6285847</v>
      </c>
      <c r="H68" s="383">
        <f>'2.산출총괄표(전기)'!I12</f>
        <v>0.13470240803441086</v>
      </c>
      <c r="I68" s="52">
        <f>D68/SUM(D65:D67,D55,D31,D16)</f>
        <v>0.13470240803441086</v>
      </c>
      <c r="J68" s="52">
        <f>E68/SUM(E65:E67,E55,E31,E16)</f>
        <v>0.13470253983892586</v>
      </c>
      <c r="K68" s="52" t="e">
        <f>F68/SUM(F65:F67,F55,F31,F16)</f>
        <v>#DIV/0!</v>
      </c>
    </row>
    <row r="69" spans="1:11" s="52" customFormat="1" ht="18" customHeight="1">
      <c r="A69" s="661" t="s">
        <v>648</v>
      </c>
      <c r="B69" s="661"/>
      <c r="C69" s="661"/>
      <c r="D69" s="73">
        <f>+E69+F69+G69</f>
        <v>1280239</v>
      </c>
      <c r="E69" s="73">
        <f>ROUND(E16*H69,0)</f>
        <v>89122</v>
      </c>
      <c r="F69" s="73">
        <f>ROUND(SUM(F65:F67,F55,F31,F16)*H69,0)</f>
        <v>0</v>
      </c>
      <c r="G69" s="73">
        <f>ROUND(SUM(G65:G67,G55,G31,G16)*H69,0)</f>
        <v>1191117</v>
      </c>
      <c r="H69" s="383">
        <f>'2.산출총괄표(전기)'!I13</f>
        <v>2.5525009241119653E-2</v>
      </c>
    </row>
    <row r="70" spans="1:11" s="52" customFormat="1" ht="18" customHeight="1">
      <c r="A70" s="823" t="s">
        <v>649</v>
      </c>
      <c r="B70" s="823"/>
      <c r="C70" s="823"/>
      <c r="D70" s="105">
        <f>D31+D55+D65+D16+D66+D67+D68+D69</f>
        <v>58192668</v>
      </c>
      <c r="E70" s="105">
        <f>E31+E55+E65+E16+E66+E67+E68+E69</f>
        <v>4051004.0000000005</v>
      </c>
      <c r="F70" s="105">
        <f>F31+F55+F65+F16+F66+F67+F68+F69</f>
        <v>0</v>
      </c>
      <c r="G70" s="105">
        <f>G31+G55+G65+G16+G66+G67+G68+G69</f>
        <v>54141664</v>
      </c>
      <c r="H70" s="58"/>
    </row>
    <row r="71" spans="1:11" s="52" customFormat="1" ht="18" customHeight="1">
      <c r="A71" s="669" t="s">
        <v>491</v>
      </c>
      <c r="B71" s="669"/>
      <c r="C71" s="669"/>
      <c r="D71" s="669"/>
      <c r="E71" s="669"/>
      <c r="F71" s="669"/>
      <c r="G71" s="669"/>
      <c r="H71" s="58"/>
    </row>
    <row r="72" spans="1:11" ht="20.100000000000001" customHeight="1">
      <c r="D72" s="74">
        <f>SUM(E72:G72)</f>
        <v>1</v>
      </c>
      <c r="E72" s="75">
        <f>E70/$D$70</f>
        <v>6.9613649609603742E-2</v>
      </c>
      <c r="F72" s="75">
        <f>F70/$D$70</f>
        <v>0</v>
      </c>
      <c r="G72" s="75">
        <f>G70/$D$70</f>
        <v>0.9303863503903963</v>
      </c>
    </row>
    <row r="73" spans="1:11" ht="20.100000000000001" customHeight="1">
      <c r="D73" s="76"/>
      <c r="E73" s="77"/>
      <c r="F73" s="55"/>
    </row>
    <row r="74" spans="1:11" ht="20.100000000000001" customHeight="1">
      <c r="C74" s="78"/>
      <c r="D74" s="58"/>
    </row>
    <row r="75" spans="1:11" ht="20.100000000000001" customHeight="1">
      <c r="C75" s="78"/>
      <c r="D75" s="79"/>
    </row>
    <row r="76" spans="1:11" s="52" customFormat="1" ht="20.100000000000001" customHeight="1">
      <c r="H76" s="58"/>
    </row>
    <row r="77" spans="1:11" s="52" customFormat="1" ht="20.100000000000001" customHeight="1">
      <c r="H77" s="58"/>
    </row>
    <row r="78" spans="1:11" s="52" customFormat="1" ht="20.100000000000001" customHeight="1">
      <c r="H78" s="58"/>
    </row>
    <row r="79" spans="1:11" s="52" customFormat="1" ht="20.100000000000001" customHeight="1">
      <c r="H79" s="58"/>
    </row>
    <row r="80" spans="1:11" s="52" customFormat="1" ht="20.100000000000001" customHeight="1">
      <c r="H80" s="58"/>
    </row>
    <row r="81" spans="8:8" s="52" customFormat="1" ht="20.100000000000001" customHeight="1">
      <c r="H81" s="58"/>
    </row>
  </sheetData>
  <mergeCells count="13">
    <mergeCell ref="A71:G71"/>
    <mergeCell ref="A68:C68"/>
    <mergeCell ref="A69:C69"/>
    <mergeCell ref="A70:C70"/>
    <mergeCell ref="A2:G2"/>
    <mergeCell ref="A5:A31"/>
    <mergeCell ref="B5:B16"/>
    <mergeCell ref="B17:B31"/>
    <mergeCell ref="A32:A67"/>
    <mergeCell ref="B32:B55"/>
    <mergeCell ref="B56:B65"/>
    <mergeCell ref="B66:C66"/>
    <mergeCell ref="B67:C67"/>
  </mergeCells>
  <phoneticPr fontId="3" type="noConversion"/>
  <pageMargins left="0.23622047244094491" right="0.23622047244094491" top="0.62992125984251968" bottom="0.62992125984251968" header="0.51181102362204722" footer="0.51181102362204722"/>
  <pageSetup paperSize="9" orientation="portrait" r:id="rId1"/>
  <headerFooter alignWithMargins="0"/>
  <rowBreaks count="1" manualBreakCount="1">
    <brk id="31" max="6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B1:AJ24"/>
  <sheetViews>
    <sheetView view="pageBreakPreview" zoomScale="85" zoomScaleNormal="85" zoomScaleSheetLayoutView="85" workbookViewId="0">
      <pane xSplit="3" ySplit="8" topLeftCell="D9" activePane="bottomRight" state="frozen"/>
      <selection activeCell="I11" sqref="I11"/>
      <selection pane="topRight" activeCell="I11" sqref="I11"/>
      <selection pane="bottomLeft" activeCell="I11" sqref="I11"/>
      <selection pane="bottomRight" activeCell="Y32" sqref="Y32"/>
    </sheetView>
  </sheetViews>
  <sheetFormatPr defaultColWidth="3.5546875" defaultRowHeight="17.100000000000001" customHeight="1"/>
  <cols>
    <col min="1" max="1" width="3.5546875" style="467"/>
    <col min="2" max="2" width="11.6640625" style="467" bestFit="1" customWidth="1"/>
    <col min="3" max="3" width="33.21875" style="467" customWidth="1"/>
    <col min="4" max="32" width="4.33203125" style="467" customWidth="1"/>
    <col min="33" max="33" width="22.21875" style="469" customWidth="1"/>
    <col min="34" max="34" width="3.5546875" style="467"/>
    <col min="35" max="35" width="6.44140625" style="467" customWidth="1"/>
    <col min="36" max="36" width="5.88671875" style="475" customWidth="1"/>
    <col min="37" max="16384" width="3.5546875" style="467"/>
  </cols>
  <sheetData>
    <row r="1" spans="2:33" ht="31.5">
      <c r="B1" s="748" t="s">
        <v>650</v>
      </c>
      <c r="C1" s="748"/>
      <c r="D1" s="748"/>
      <c r="E1" s="748"/>
      <c r="F1" s="748"/>
      <c r="G1" s="748"/>
      <c r="H1" s="748"/>
      <c r="I1" s="748"/>
      <c r="J1" s="748"/>
      <c r="K1" s="748"/>
      <c r="L1" s="748"/>
      <c r="M1" s="748"/>
      <c r="N1" s="748"/>
      <c r="O1" s="748"/>
      <c r="P1" s="748"/>
      <c r="Q1" s="748"/>
      <c r="R1" s="748"/>
      <c r="S1" s="748"/>
      <c r="T1" s="748"/>
      <c r="U1" s="748"/>
      <c r="V1" s="748"/>
      <c r="W1" s="748"/>
      <c r="X1" s="748"/>
      <c r="Y1" s="748"/>
      <c r="Z1" s="748"/>
      <c r="AA1" s="748"/>
      <c r="AB1" s="748"/>
      <c r="AC1" s="748"/>
      <c r="AD1" s="748"/>
      <c r="AE1" s="748"/>
      <c r="AF1" s="748"/>
      <c r="AG1" s="748"/>
    </row>
    <row r="2" spans="2:33" ht="17.45" customHeight="1"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G2" s="519"/>
    </row>
    <row r="3" spans="2:33" ht="17.45" customHeight="1"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19"/>
      <c r="W3" s="519"/>
      <c r="X3" s="519"/>
      <c r="Y3" s="519"/>
      <c r="Z3" s="519"/>
      <c r="AA3" s="519"/>
      <c r="AB3" s="519"/>
      <c r="AC3" s="519"/>
      <c r="AD3" s="519"/>
      <c r="AE3" s="519"/>
      <c r="AF3" s="519"/>
      <c r="AG3" s="519"/>
    </row>
    <row r="4" spans="2:33" ht="17.45" customHeight="1">
      <c r="B4" s="831" t="s">
        <v>707</v>
      </c>
      <c r="C4" s="831"/>
      <c r="D4" s="831"/>
      <c r="E4" s="831"/>
      <c r="F4" s="831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  <c r="AG4" s="519"/>
    </row>
    <row r="5" spans="2:33" ht="17.45" customHeight="1">
      <c r="B5" s="831" t="s">
        <v>717</v>
      </c>
      <c r="C5" s="831"/>
      <c r="D5" s="831"/>
      <c r="E5" s="525"/>
      <c r="F5" s="525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19"/>
      <c r="T5" s="519"/>
      <c r="U5" s="519"/>
      <c r="V5" s="519"/>
      <c r="W5" s="519"/>
      <c r="X5" s="519"/>
      <c r="Y5" s="519"/>
      <c r="Z5" s="519"/>
      <c r="AA5" s="519"/>
      <c r="AB5" s="519"/>
      <c r="AC5" s="519"/>
      <c r="AD5" s="519"/>
      <c r="AE5" s="519"/>
      <c r="AF5" s="519"/>
      <c r="AG5" s="519"/>
    </row>
    <row r="6" spans="2:33" ht="4.5" customHeight="1" thickBot="1">
      <c r="B6" s="749"/>
      <c r="C6" s="749"/>
      <c r="D6" s="468"/>
      <c r="E6" s="468"/>
      <c r="F6" s="468"/>
      <c r="G6" s="468"/>
      <c r="H6" s="468"/>
      <c r="I6" s="468"/>
      <c r="J6" s="468"/>
    </row>
    <row r="7" spans="2:33" ht="17.45" customHeight="1">
      <c r="B7" s="750" t="s">
        <v>651</v>
      </c>
      <c r="C7" s="769" t="s">
        <v>652</v>
      </c>
      <c r="D7" s="832" t="s">
        <v>492</v>
      </c>
      <c r="E7" s="763"/>
      <c r="F7" s="763"/>
      <c r="G7" s="763"/>
      <c r="H7" s="763"/>
      <c r="I7" s="763"/>
      <c r="J7" s="763"/>
      <c r="K7" s="763"/>
      <c r="L7" s="764" t="s">
        <v>493</v>
      </c>
      <c r="M7" s="763"/>
      <c r="N7" s="763"/>
      <c r="O7" s="763"/>
      <c r="P7" s="763"/>
      <c r="Q7" s="763"/>
      <c r="R7" s="763"/>
      <c r="S7" s="763"/>
      <c r="T7" s="763"/>
      <c r="U7" s="763"/>
      <c r="V7" s="763"/>
      <c r="W7" s="763"/>
      <c r="X7" s="764" t="s">
        <v>494</v>
      </c>
      <c r="Y7" s="763"/>
      <c r="Z7" s="763"/>
      <c r="AA7" s="763"/>
      <c r="AB7" s="763"/>
      <c r="AC7" s="763"/>
      <c r="AD7" s="763"/>
      <c r="AE7" s="763"/>
      <c r="AF7" s="763"/>
      <c r="AG7" s="752" t="s">
        <v>653</v>
      </c>
    </row>
    <row r="8" spans="2:33" ht="17.45" customHeight="1" thickBot="1">
      <c r="B8" s="751"/>
      <c r="C8" s="771"/>
      <c r="D8" s="535" t="s">
        <v>654</v>
      </c>
      <c r="E8" s="515" t="s">
        <v>495</v>
      </c>
      <c r="F8" s="470" t="s">
        <v>676</v>
      </c>
      <c r="G8" s="470" t="s">
        <v>496</v>
      </c>
      <c r="H8" s="470" t="s">
        <v>677</v>
      </c>
      <c r="I8" s="470" t="s">
        <v>678</v>
      </c>
      <c r="J8" s="470" t="s">
        <v>679</v>
      </c>
      <c r="K8" s="470" t="s">
        <v>680</v>
      </c>
      <c r="L8" s="470" t="s">
        <v>458</v>
      </c>
      <c r="M8" s="470" t="s">
        <v>184</v>
      </c>
      <c r="N8" s="470" t="s">
        <v>185</v>
      </c>
      <c r="O8" s="470" t="s">
        <v>186</v>
      </c>
      <c r="P8" s="470" t="s">
        <v>187</v>
      </c>
      <c r="Q8" s="470" t="s">
        <v>188</v>
      </c>
      <c r="R8" s="470" t="s">
        <v>189</v>
      </c>
      <c r="S8" s="470" t="s">
        <v>179</v>
      </c>
      <c r="T8" s="470" t="s">
        <v>180</v>
      </c>
      <c r="U8" s="470" t="s">
        <v>181</v>
      </c>
      <c r="V8" s="470" t="s">
        <v>182</v>
      </c>
      <c r="W8" s="470" t="s">
        <v>183</v>
      </c>
      <c r="X8" s="470" t="s">
        <v>458</v>
      </c>
      <c r="Y8" s="470" t="s">
        <v>184</v>
      </c>
      <c r="Z8" s="470" t="s">
        <v>185</v>
      </c>
      <c r="AA8" s="470" t="s">
        <v>186</v>
      </c>
      <c r="AB8" s="470" t="s">
        <v>187</v>
      </c>
      <c r="AC8" s="470" t="s">
        <v>495</v>
      </c>
      <c r="AD8" s="470" t="s">
        <v>681</v>
      </c>
      <c r="AE8" s="470" t="s">
        <v>496</v>
      </c>
      <c r="AF8" s="607" t="s">
        <v>682</v>
      </c>
      <c r="AG8" s="753"/>
    </row>
    <row r="9" spans="2:33" ht="39" customHeight="1">
      <c r="B9" s="755" t="s">
        <v>655</v>
      </c>
      <c r="C9" s="508" t="s">
        <v>656</v>
      </c>
      <c r="D9" s="552"/>
      <c r="E9" s="539"/>
      <c r="F9" s="539"/>
      <c r="G9" s="539"/>
      <c r="H9" s="539"/>
      <c r="I9" s="539"/>
      <c r="J9" s="539"/>
      <c r="K9" s="539"/>
      <c r="L9" s="539"/>
      <c r="M9" s="539"/>
      <c r="N9" s="539"/>
      <c r="O9" s="539"/>
      <c r="P9" s="540"/>
      <c r="Q9" s="540"/>
      <c r="R9" s="540"/>
      <c r="S9" s="540"/>
      <c r="T9" s="540">
        <v>0.5</v>
      </c>
      <c r="U9" s="540">
        <v>1.5</v>
      </c>
      <c r="V9" s="540">
        <v>2.5</v>
      </c>
      <c r="W9" s="540">
        <v>3.5</v>
      </c>
      <c r="X9" s="540">
        <v>4.5</v>
      </c>
      <c r="Y9" s="540">
        <v>5.5</v>
      </c>
      <c r="Z9" s="540">
        <v>6.5</v>
      </c>
      <c r="AA9" s="540"/>
      <c r="AB9" s="540"/>
      <c r="AC9" s="540"/>
      <c r="AD9" s="540"/>
      <c r="AE9" s="540"/>
      <c r="AF9" s="541"/>
      <c r="AG9" s="601" t="s">
        <v>708</v>
      </c>
    </row>
    <row r="10" spans="2:33" ht="39" customHeight="1">
      <c r="B10" s="754"/>
      <c r="C10" s="509" t="s">
        <v>657</v>
      </c>
      <c r="D10" s="543"/>
      <c r="E10" s="545"/>
      <c r="F10" s="545"/>
      <c r="G10" s="545"/>
      <c r="H10" s="545"/>
      <c r="I10" s="545"/>
      <c r="J10" s="545"/>
      <c r="K10" s="545"/>
      <c r="L10" s="545"/>
      <c r="M10" s="545"/>
      <c r="N10" s="545"/>
      <c r="O10" s="545"/>
      <c r="P10" s="546"/>
      <c r="Q10" s="546"/>
      <c r="R10" s="546"/>
      <c r="S10" s="546"/>
      <c r="T10" s="546"/>
      <c r="U10" s="546"/>
      <c r="V10" s="562">
        <v>1</v>
      </c>
      <c r="W10" s="562">
        <v>2</v>
      </c>
      <c r="X10" s="562">
        <v>3</v>
      </c>
      <c r="Y10" s="562">
        <v>4</v>
      </c>
      <c r="Z10" s="562">
        <v>5</v>
      </c>
      <c r="AA10" s="562">
        <v>6</v>
      </c>
      <c r="AB10" s="546"/>
      <c r="AC10" s="546"/>
      <c r="AD10" s="546"/>
      <c r="AE10" s="546"/>
      <c r="AF10" s="547"/>
      <c r="AG10" s="608" t="s">
        <v>709</v>
      </c>
    </row>
    <row r="11" spans="2:33" ht="39" customHeight="1">
      <c r="B11" s="754"/>
      <c r="C11" s="509" t="s">
        <v>658</v>
      </c>
      <c r="D11" s="543"/>
      <c r="E11" s="545"/>
      <c r="F11" s="545"/>
      <c r="G11" s="545"/>
      <c r="H11" s="545"/>
      <c r="I11" s="545"/>
      <c r="J11" s="545"/>
      <c r="K11" s="545"/>
      <c r="L11" s="545"/>
      <c r="M11" s="545"/>
      <c r="N11" s="545"/>
      <c r="O11" s="545"/>
      <c r="P11" s="546"/>
      <c r="Q11" s="546"/>
      <c r="R11" s="546"/>
      <c r="S11" s="546">
        <v>0.5</v>
      </c>
      <c r="T11" s="546">
        <v>1.5</v>
      </c>
      <c r="U11" s="546">
        <v>2.5</v>
      </c>
      <c r="V11" s="546">
        <v>3.5</v>
      </c>
      <c r="W11" s="546">
        <v>4.5</v>
      </c>
      <c r="X11" s="546">
        <v>5.5</v>
      </c>
      <c r="Y11" s="546">
        <v>6.5</v>
      </c>
      <c r="Z11" s="546">
        <v>7.5</v>
      </c>
      <c r="AA11" s="546">
        <v>8.5</v>
      </c>
      <c r="AB11" s="546">
        <v>9.5</v>
      </c>
      <c r="AC11" s="562">
        <v>10</v>
      </c>
      <c r="AD11" s="546"/>
      <c r="AE11" s="546"/>
      <c r="AF11" s="547"/>
      <c r="AG11" s="608" t="s">
        <v>716</v>
      </c>
    </row>
    <row r="12" spans="2:33" ht="39" customHeight="1">
      <c r="B12" s="754"/>
      <c r="C12" s="509" t="s">
        <v>659</v>
      </c>
      <c r="D12" s="543"/>
      <c r="E12" s="545"/>
      <c r="F12" s="545"/>
      <c r="G12" s="545"/>
      <c r="H12" s="545"/>
      <c r="I12" s="545"/>
      <c r="J12" s="545"/>
      <c r="K12" s="545"/>
      <c r="L12" s="545"/>
      <c r="M12" s="545"/>
      <c r="N12" s="545"/>
      <c r="O12" s="545"/>
      <c r="P12" s="546">
        <v>0.5</v>
      </c>
      <c r="Q12" s="546">
        <v>1.5</v>
      </c>
      <c r="R12" s="546">
        <v>2.5</v>
      </c>
      <c r="S12" s="546">
        <v>3.5</v>
      </c>
      <c r="T12" s="546">
        <v>4.5</v>
      </c>
      <c r="U12" s="546">
        <v>5.5</v>
      </c>
      <c r="V12" s="546">
        <v>6.5</v>
      </c>
      <c r="W12" s="546">
        <v>7.5</v>
      </c>
      <c r="X12" s="546">
        <v>8.5</v>
      </c>
      <c r="Y12" s="546">
        <v>9.5</v>
      </c>
      <c r="Z12" s="546">
        <v>10.5</v>
      </c>
      <c r="AA12" s="546">
        <v>11.5</v>
      </c>
      <c r="AB12" s="546">
        <v>12.5</v>
      </c>
      <c r="AC12" s="562">
        <v>13</v>
      </c>
      <c r="AD12" s="546"/>
      <c r="AE12" s="546"/>
      <c r="AF12" s="547"/>
      <c r="AG12" s="608" t="s">
        <v>720</v>
      </c>
    </row>
    <row r="13" spans="2:33" ht="39" customHeight="1">
      <c r="B13" s="754"/>
      <c r="C13" s="509" t="s">
        <v>660</v>
      </c>
      <c r="D13" s="543"/>
      <c r="E13" s="545"/>
      <c r="F13" s="545"/>
      <c r="G13" s="545"/>
      <c r="H13" s="545"/>
      <c r="I13" s="545"/>
      <c r="J13" s="545"/>
      <c r="K13" s="561">
        <v>1</v>
      </c>
      <c r="L13" s="561">
        <v>2</v>
      </c>
      <c r="M13" s="561">
        <v>3</v>
      </c>
      <c r="N13" s="561">
        <v>4</v>
      </c>
      <c r="O13" s="561">
        <v>5</v>
      </c>
      <c r="P13" s="562">
        <v>6</v>
      </c>
      <c r="Q13" s="562">
        <v>7</v>
      </c>
      <c r="R13" s="562">
        <v>8</v>
      </c>
      <c r="S13" s="562">
        <v>9</v>
      </c>
      <c r="T13" s="562">
        <v>10</v>
      </c>
      <c r="U13" s="562">
        <v>11</v>
      </c>
      <c r="V13" s="562">
        <v>12</v>
      </c>
      <c r="W13" s="562">
        <v>13</v>
      </c>
      <c r="X13" s="562">
        <v>14</v>
      </c>
      <c r="Y13" s="562">
        <v>15</v>
      </c>
      <c r="Z13" s="562">
        <v>16</v>
      </c>
      <c r="AA13" s="562">
        <v>17</v>
      </c>
      <c r="AB13" s="562">
        <v>18</v>
      </c>
      <c r="AC13" s="562">
        <v>19</v>
      </c>
      <c r="AD13" s="562">
        <v>20</v>
      </c>
      <c r="AE13" s="562">
        <v>21</v>
      </c>
      <c r="AF13" s="547"/>
      <c r="AG13" s="608" t="s">
        <v>710</v>
      </c>
    </row>
    <row r="14" spans="2:33" ht="39" customHeight="1">
      <c r="B14" s="754"/>
      <c r="C14" s="509" t="s">
        <v>661</v>
      </c>
      <c r="D14" s="543"/>
      <c r="E14" s="545"/>
      <c r="F14" s="545"/>
      <c r="G14" s="545"/>
      <c r="H14" s="545"/>
      <c r="I14" s="545"/>
      <c r="J14" s="545"/>
      <c r="K14" s="545"/>
      <c r="L14" s="561">
        <v>1</v>
      </c>
      <c r="M14" s="561">
        <v>2</v>
      </c>
      <c r="N14" s="561">
        <v>3</v>
      </c>
      <c r="O14" s="561">
        <v>4</v>
      </c>
      <c r="P14" s="562">
        <v>5</v>
      </c>
      <c r="Q14" s="562">
        <v>6</v>
      </c>
      <c r="R14" s="562">
        <v>7</v>
      </c>
      <c r="S14" s="562">
        <v>8</v>
      </c>
      <c r="T14" s="562">
        <v>9</v>
      </c>
      <c r="U14" s="562">
        <v>10</v>
      </c>
      <c r="V14" s="562">
        <v>11</v>
      </c>
      <c r="W14" s="562">
        <v>12</v>
      </c>
      <c r="X14" s="562">
        <v>13</v>
      </c>
      <c r="Y14" s="562">
        <v>14</v>
      </c>
      <c r="Z14" s="562">
        <v>15</v>
      </c>
      <c r="AA14" s="562">
        <v>16</v>
      </c>
      <c r="AB14" s="562">
        <v>17</v>
      </c>
      <c r="AC14" s="562">
        <v>18</v>
      </c>
      <c r="AD14" s="562">
        <v>19</v>
      </c>
      <c r="AE14" s="562">
        <v>20</v>
      </c>
      <c r="AF14" s="569">
        <v>21</v>
      </c>
      <c r="AG14" s="608" t="s">
        <v>711</v>
      </c>
    </row>
    <row r="15" spans="2:33" ht="39" customHeight="1">
      <c r="B15" s="754"/>
      <c r="C15" s="509" t="s">
        <v>662</v>
      </c>
      <c r="D15" s="543"/>
      <c r="E15" s="545"/>
      <c r="F15" s="545"/>
      <c r="G15" s="545"/>
      <c r="H15" s="545"/>
      <c r="I15" s="545">
        <v>0.5</v>
      </c>
      <c r="J15" s="545">
        <v>1.5</v>
      </c>
      <c r="K15" s="545">
        <v>2.5</v>
      </c>
      <c r="L15" s="545"/>
      <c r="M15" s="545"/>
      <c r="N15" s="545"/>
      <c r="O15" s="545"/>
      <c r="P15" s="546"/>
      <c r="Q15" s="546"/>
      <c r="R15" s="546"/>
      <c r="S15" s="546"/>
      <c r="T15" s="546"/>
      <c r="U15" s="546"/>
      <c r="V15" s="562">
        <v>0.5</v>
      </c>
      <c r="W15" s="562">
        <v>1.5</v>
      </c>
      <c r="X15" s="562">
        <v>2.5</v>
      </c>
      <c r="Y15" s="562">
        <v>3.5</v>
      </c>
      <c r="Z15" s="562">
        <v>4.5</v>
      </c>
      <c r="AA15" s="562">
        <v>5.5</v>
      </c>
      <c r="AB15" s="562">
        <v>6</v>
      </c>
      <c r="AC15" s="546"/>
      <c r="AD15" s="546"/>
      <c r="AE15" s="546"/>
      <c r="AF15" s="547"/>
      <c r="AG15" s="608" t="s">
        <v>721</v>
      </c>
    </row>
    <row r="16" spans="2:33" ht="39" customHeight="1">
      <c r="B16" s="754"/>
      <c r="C16" s="509" t="s">
        <v>663</v>
      </c>
      <c r="D16" s="543"/>
      <c r="E16" s="545"/>
      <c r="F16" s="545"/>
      <c r="G16" s="545"/>
      <c r="H16" s="545"/>
      <c r="I16" s="545"/>
      <c r="J16" s="545"/>
      <c r="K16" s="545"/>
      <c r="L16" s="545"/>
      <c r="M16" s="545"/>
      <c r="N16" s="545"/>
      <c r="O16" s="545"/>
      <c r="P16" s="546"/>
      <c r="Q16" s="546"/>
      <c r="R16" s="546"/>
      <c r="S16" s="546"/>
      <c r="T16" s="546"/>
      <c r="U16" s="546"/>
      <c r="V16" s="546"/>
      <c r="W16" s="546"/>
      <c r="X16" s="546"/>
      <c r="Y16" s="546">
        <v>0.5</v>
      </c>
      <c r="Z16" s="546">
        <v>1.5</v>
      </c>
      <c r="AA16" s="546">
        <v>2.5</v>
      </c>
      <c r="AB16" s="546">
        <v>3.5</v>
      </c>
      <c r="AC16" s="546">
        <v>4.5</v>
      </c>
      <c r="AD16" s="546"/>
      <c r="AE16" s="546"/>
      <c r="AF16" s="547"/>
      <c r="AG16" s="608" t="s">
        <v>712</v>
      </c>
    </row>
    <row r="17" spans="2:33" ht="39" customHeight="1">
      <c r="B17" s="754"/>
      <c r="C17" s="509" t="s">
        <v>664</v>
      </c>
      <c r="D17" s="543"/>
      <c r="E17" s="545"/>
      <c r="F17" s="545"/>
      <c r="G17" s="545"/>
      <c r="H17" s="545"/>
      <c r="I17" s="545"/>
      <c r="J17" s="545"/>
      <c r="K17" s="545"/>
      <c r="L17" s="545"/>
      <c r="M17" s="545"/>
      <c r="N17" s="545"/>
      <c r="O17" s="545"/>
      <c r="P17" s="546"/>
      <c r="Q17" s="546"/>
      <c r="R17" s="546"/>
      <c r="S17" s="546"/>
      <c r="T17" s="546">
        <v>0.5</v>
      </c>
      <c r="U17" s="546">
        <v>1.5</v>
      </c>
      <c r="V17" s="546">
        <v>2.5</v>
      </c>
      <c r="W17" s="546">
        <v>3.5</v>
      </c>
      <c r="X17" s="546">
        <v>4.5</v>
      </c>
      <c r="Y17" s="546">
        <v>5.5</v>
      </c>
      <c r="Z17" s="546">
        <v>6.5</v>
      </c>
      <c r="AA17" s="546">
        <v>7.5</v>
      </c>
      <c r="AB17" s="546">
        <v>8.5</v>
      </c>
      <c r="AC17" s="546"/>
      <c r="AD17" s="546"/>
      <c r="AE17" s="546"/>
      <c r="AF17" s="547"/>
      <c r="AG17" s="608" t="s">
        <v>713</v>
      </c>
    </row>
    <row r="18" spans="2:33" ht="39" customHeight="1">
      <c r="B18" s="754"/>
      <c r="C18" s="509" t="s">
        <v>665</v>
      </c>
      <c r="D18" s="543"/>
      <c r="E18" s="545"/>
      <c r="F18" s="545"/>
      <c r="G18" s="545"/>
      <c r="H18" s="545"/>
      <c r="I18" s="545"/>
      <c r="J18" s="545"/>
      <c r="K18" s="545"/>
      <c r="L18" s="545"/>
      <c r="M18" s="545"/>
      <c r="N18" s="545"/>
      <c r="O18" s="545"/>
      <c r="P18" s="546"/>
      <c r="Q18" s="546"/>
      <c r="R18" s="546"/>
      <c r="S18" s="546"/>
      <c r="T18" s="546"/>
      <c r="U18" s="546">
        <v>0.5</v>
      </c>
      <c r="V18" s="546">
        <v>1.5</v>
      </c>
      <c r="W18" s="546">
        <v>2.5</v>
      </c>
      <c r="X18" s="546">
        <v>3.5</v>
      </c>
      <c r="Y18" s="546">
        <v>4.5</v>
      </c>
      <c r="Z18" s="546">
        <v>5.5</v>
      </c>
      <c r="AA18" s="546">
        <v>6.5</v>
      </c>
      <c r="AB18" s="546">
        <v>7.5</v>
      </c>
      <c r="AC18" s="562">
        <v>8</v>
      </c>
      <c r="AD18" s="546"/>
      <c r="AE18" s="546"/>
      <c r="AF18" s="547"/>
      <c r="AG18" s="608" t="s">
        <v>714</v>
      </c>
    </row>
    <row r="19" spans="2:33" ht="39" customHeight="1" thickBot="1">
      <c r="B19" s="754"/>
      <c r="C19" s="509" t="s">
        <v>666</v>
      </c>
      <c r="D19" s="557"/>
      <c r="E19" s="558"/>
      <c r="F19" s="558"/>
      <c r="G19" s="558"/>
      <c r="H19" s="558"/>
      <c r="I19" s="558"/>
      <c r="J19" s="558"/>
      <c r="K19" s="558"/>
      <c r="L19" s="558"/>
      <c r="M19" s="558"/>
      <c r="N19" s="558"/>
      <c r="O19" s="558"/>
      <c r="P19" s="559"/>
      <c r="Q19" s="559"/>
      <c r="R19" s="559"/>
      <c r="S19" s="559"/>
      <c r="T19" s="559"/>
      <c r="U19" s="559"/>
      <c r="V19" s="559"/>
      <c r="W19" s="559"/>
      <c r="X19" s="559"/>
      <c r="Y19" s="610">
        <v>1</v>
      </c>
      <c r="Z19" s="610">
        <v>2</v>
      </c>
      <c r="AA19" s="610">
        <v>3</v>
      </c>
      <c r="AB19" s="610">
        <v>4</v>
      </c>
      <c r="AC19" s="610">
        <v>5</v>
      </c>
      <c r="AD19" s="610">
        <v>6</v>
      </c>
      <c r="AE19" s="610">
        <v>7</v>
      </c>
      <c r="AF19" s="560"/>
      <c r="AG19" s="609" t="s">
        <v>715</v>
      </c>
    </row>
    <row r="20" spans="2:33" ht="39" customHeight="1">
      <c r="B20" s="755" t="s">
        <v>667</v>
      </c>
      <c r="C20" s="510" t="s">
        <v>668</v>
      </c>
      <c r="D20" s="566">
        <v>1</v>
      </c>
      <c r="E20" s="568">
        <v>2</v>
      </c>
      <c r="F20" s="568">
        <v>3</v>
      </c>
      <c r="G20" s="568">
        <v>4</v>
      </c>
      <c r="H20" s="568">
        <v>5</v>
      </c>
      <c r="I20" s="568">
        <v>6</v>
      </c>
      <c r="J20" s="568">
        <v>7</v>
      </c>
      <c r="K20" s="568">
        <v>8</v>
      </c>
      <c r="L20" s="568">
        <v>9</v>
      </c>
      <c r="M20" s="568">
        <v>10</v>
      </c>
      <c r="N20" s="568">
        <v>11</v>
      </c>
      <c r="O20" s="568">
        <v>12</v>
      </c>
      <c r="P20" s="570">
        <v>13</v>
      </c>
      <c r="Q20" s="570">
        <v>14</v>
      </c>
      <c r="R20" s="570">
        <v>15</v>
      </c>
      <c r="S20" s="570">
        <v>16</v>
      </c>
      <c r="T20" s="570">
        <v>17</v>
      </c>
      <c r="U20" s="570">
        <v>18</v>
      </c>
      <c r="V20" s="570">
        <v>19</v>
      </c>
      <c r="W20" s="570">
        <v>20</v>
      </c>
      <c r="X20" s="570">
        <v>21</v>
      </c>
      <c r="Y20" s="570">
        <v>22</v>
      </c>
      <c r="Z20" s="570">
        <v>23</v>
      </c>
      <c r="AA20" s="570">
        <v>24</v>
      </c>
      <c r="AB20" s="570">
        <v>25</v>
      </c>
      <c r="AC20" s="570">
        <v>26</v>
      </c>
      <c r="AD20" s="570">
        <v>27</v>
      </c>
      <c r="AE20" s="570">
        <v>28</v>
      </c>
      <c r="AF20" s="571">
        <v>29</v>
      </c>
      <c r="AG20" s="604" t="s">
        <v>705</v>
      </c>
    </row>
    <row r="21" spans="2:33" ht="39" customHeight="1">
      <c r="B21" s="754"/>
      <c r="C21" s="509" t="s">
        <v>669</v>
      </c>
      <c r="D21" s="606">
        <v>1</v>
      </c>
      <c r="E21" s="561">
        <v>2</v>
      </c>
      <c r="F21" s="561">
        <v>3</v>
      </c>
      <c r="G21" s="561">
        <v>4</v>
      </c>
      <c r="H21" s="561">
        <v>5</v>
      </c>
      <c r="I21" s="561">
        <v>6</v>
      </c>
      <c r="J21" s="561">
        <v>7</v>
      </c>
      <c r="K21" s="545">
        <v>7.5</v>
      </c>
      <c r="L21" s="472"/>
      <c r="M21" s="472"/>
      <c r="N21" s="472"/>
      <c r="O21" s="472"/>
      <c r="P21" s="473"/>
      <c r="Q21" s="473"/>
      <c r="R21" s="473"/>
      <c r="S21" s="473"/>
      <c r="T21" s="473"/>
      <c r="U21" s="473"/>
      <c r="V21" s="473"/>
      <c r="W21" s="473"/>
      <c r="X21" s="473"/>
      <c r="Y21" s="473"/>
      <c r="Z21" s="562">
        <v>1</v>
      </c>
      <c r="AA21" s="562">
        <v>2</v>
      </c>
      <c r="AB21" s="562">
        <v>3</v>
      </c>
      <c r="AC21" s="562">
        <v>4</v>
      </c>
      <c r="AD21" s="562">
        <v>5</v>
      </c>
      <c r="AE21" s="562">
        <v>6</v>
      </c>
      <c r="AF21" s="569">
        <v>6.5</v>
      </c>
      <c r="AG21" s="608" t="s">
        <v>722</v>
      </c>
    </row>
    <row r="22" spans="2:33" ht="39" customHeight="1">
      <c r="B22" s="754"/>
      <c r="C22" s="509" t="s">
        <v>670</v>
      </c>
      <c r="D22" s="512"/>
      <c r="E22" s="472"/>
      <c r="F22" s="472"/>
      <c r="G22" s="472"/>
      <c r="H22" s="472"/>
      <c r="I22" s="472"/>
      <c r="J22" s="472"/>
      <c r="K22" s="561">
        <v>1</v>
      </c>
      <c r="L22" s="561">
        <v>2</v>
      </c>
      <c r="M22" s="561">
        <v>3</v>
      </c>
      <c r="N22" s="561">
        <v>4</v>
      </c>
      <c r="O22" s="561">
        <v>5</v>
      </c>
      <c r="P22" s="562">
        <v>6</v>
      </c>
      <c r="Q22" s="562">
        <v>7</v>
      </c>
      <c r="R22" s="562">
        <v>8</v>
      </c>
      <c r="S22" s="562">
        <v>9</v>
      </c>
      <c r="T22" s="562">
        <v>10</v>
      </c>
      <c r="U22" s="562">
        <v>11</v>
      </c>
      <c r="V22" s="562">
        <v>12</v>
      </c>
      <c r="W22" s="562">
        <v>13</v>
      </c>
      <c r="X22" s="562">
        <v>14</v>
      </c>
      <c r="Y22" s="562">
        <v>15</v>
      </c>
      <c r="Z22" s="562">
        <v>16</v>
      </c>
      <c r="AA22" s="562">
        <v>17</v>
      </c>
      <c r="AB22" s="562">
        <v>18</v>
      </c>
      <c r="AC22" s="562">
        <v>19</v>
      </c>
      <c r="AD22" s="562">
        <v>20</v>
      </c>
      <c r="AE22" s="562">
        <v>21</v>
      </c>
      <c r="AF22" s="569">
        <v>22</v>
      </c>
      <c r="AG22" s="608" t="s">
        <v>706</v>
      </c>
    </row>
    <row r="23" spans="2:33" ht="39" customHeight="1">
      <c r="B23" s="754"/>
      <c r="C23" s="508" t="s">
        <v>671</v>
      </c>
      <c r="D23" s="511"/>
      <c r="E23" s="471"/>
      <c r="F23" s="471"/>
      <c r="G23" s="471"/>
      <c r="H23" s="471"/>
      <c r="I23" s="471"/>
      <c r="J23" s="539">
        <v>0.5</v>
      </c>
      <c r="K23" s="539">
        <v>1.5</v>
      </c>
      <c r="L23" s="539">
        <v>2.5</v>
      </c>
      <c r="M23" s="539">
        <v>3.5</v>
      </c>
      <c r="N23" s="539">
        <v>4.5</v>
      </c>
      <c r="O23" s="539">
        <v>5.5</v>
      </c>
      <c r="P23" s="540">
        <v>6.5</v>
      </c>
      <c r="Q23" s="540">
        <v>7.5</v>
      </c>
      <c r="R23" s="540">
        <v>8.5</v>
      </c>
      <c r="S23" s="540">
        <v>9.5</v>
      </c>
      <c r="T23" s="540">
        <v>10.5</v>
      </c>
      <c r="U23" s="540">
        <v>11.5</v>
      </c>
      <c r="V23" s="540">
        <v>12.5</v>
      </c>
      <c r="W23" s="540">
        <v>13.5</v>
      </c>
      <c r="X23" s="540">
        <v>14.5</v>
      </c>
      <c r="Y23" s="540">
        <v>15.5</v>
      </c>
      <c r="Z23" s="540">
        <v>16.5</v>
      </c>
      <c r="AA23" s="540">
        <v>17.5</v>
      </c>
      <c r="AB23" s="540">
        <v>18.5</v>
      </c>
      <c r="AC23" s="540">
        <v>19.5</v>
      </c>
      <c r="AD23" s="540">
        <v>20.5</v>
      </c>
      <c r="AE23" s="540">
        <v>21.5</v>
      </c>
      <c r="AF23" s="541">
        <v>22.5</v>
      </c>
      <c r="AG23" s="608" t="s">
        <v>700</v>
      </c>
    </row>
    <row r="24" spans="2:33" ht="39" customHeight="1" thickBot="1">
      <c r="B24" s="756"/>
      <c r="C24" s="605" t="s">
        <v>672</v>
      </c>
      <c r="D24" s="513"/>
      <c r="E24" s="474"/>
      <c r="F24" s="474"/>
      <c r="G24" s="474"/>
      <c r="H24" s="474"/>
      <c r="I24" s="474"/>
      <c r="J24" s="539">
        <v>0.5</v>
      </c>
      <c r="K24" s="539">
        <v>1.5</v>
      </c>
      <c r="L24" s="539">
        <v>2.5</v>
      </c>
      <c r="M24" s="539">
        <v>3.5</v>
      </c>
      <c r="N24" s="539">
        <v>4.5</v>
      </c>
      <c r="O24" s="539">
        <v>5.5</v>
      </c>
      <c r="P24" s="540">
        <v>6.5</v>
      </c>
      <c r="Q24" s="540">
        <v>7.5</v>
      </c>
      <c r="R24" s="540">
        <v>8.5</v>
      </c>
      <c r="S24" s="540">
        <v>9.5</v>
      </c>
      <c r="T24" s="540">
        <v>10.5</v>
      </c>
      <c r="U24" s="540">
        <v>11.5</v>
      </c>
      <c r="V24" s="540">
        <v>12.5</v>
      </c>
      <c r="W24" s="540">
        <v>13.5</v>
      </c>
      <c r="X24" s="540">
        <v>14.5</v>
      </c>
      <c r="Y24" s="540">
        <v>15.5</v>
      </c>
      <c r="Z24" s="540">
        <v>16.5</v>
      </c>
      <c r="AA24" s="540">
        <v>17.5</v>
      </c>
      <c r="AB24" s="540">
        <v>18.5</v>
      </c>
      <c r="AC24" s="540">
        <v>19.5</v>
      </c>
      <c r="AD24" s="540">
        <v>20.5</v>
      </c>
      <c r="AE24" s="540">
        <v>21.5</v>
      </c>
      <c r="AF24" s="541">
        <v>22.5</v>
      </c>
      <c r="AG24" s="609" t="s">
        <v>700</v>
      </c>
    </row>
  </sheetData>
  <mergeCells count="12">
    <mergeCell ref="B9:B19"/>
    <mergeCell ref="B20:B24"/>
    <mergeCell ref="B1:AG1"/>
    <mergeCell ref="B4:F4"/>
    <mergeCell ref="B5:D5"/>
    <mergeCell ref="B6:C6"/>
    <mergeCell ref="B7:B8"/>
    <mergeCell ref="C7:C8"/>
    <mergeCell ref="AG7:AG8"/>
    <mergeCell ref="D7:K7"/>
    <mergeCell ref="L7:W7"/>
    <mergeCell ref="X7:AF7"/>
  </mergeCells>
  <phoneticPr fontId="3" type="noConversion"/>
  <printOptions horizontalCentered="1"/>
  <pageMargins left="0.47" right="0.39" top="0.56000000000000005" bottom="0" header="0.31496062992125984" footer="0.31496062992125984"/>
  <pageSetup paperSize="9" scale="61" fitToHeight="0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42"/>
  <sheetViews>
    <sheetView view="pageBreakPreview" workbookViewId="0">
      <selection activeCell="L21" sqref="L21"/>
    </sheetView>
  </sheetViews>
  <sheetFormatPr defaultRowHeight="13.5"/>
  <cols>
    <col min="1" max="1" width="17.88671875" style="328" customWidth="1"/>
    <col min="2" max="2" width="13.5546875" style="328" customWidth="1"/>
    <col min="3" max="4" width="18.88671875" style="328" customWidth="1"/>
    <col min="5" max="16384" width="8.88671875" style="328"/>
  </cols>
  <sheetData>
    <row r="1" spans="1:4" s="322" customFormat="1" ht="25.5">
      <c r="A1" s="833" t="s">
        <v>0</v>
      </c>
      <c r="B1" s="833"/>
      <c r="C1" s="833"/>
      <c r="D1" s="833"/>
    </row>
    <row r="2" spans="1:4" s="324" customFormat="1" ht="16.5" customHeight="1">
      <c r="A2" s="323"/>
      <c r="B2" s="323"/>
      <c r="C2" s="323"/>
      <c r="D2" s="323"/>
    </row>
    <row r="3" spans="1:4" s="324" customFormat="1" ht="15.75" customHeight="1">
      <c r="A3" s="323"/>
      <c r="B3" s="323"/>
      <c r="C3" s="323"/>
      <c r="D3" s="323"/>
    </row>
    <row r="4" spans="1:4" s="324" customFormat="1" ht="15.75" customHeight="1">
      <c r="A4" s="325" t="s">
        <v>1</v>
      </c>
      <c r="B4" s="323"/>
      <c r="C4" s="323"/>
      <c r="D4" s="323"/>
    </row>
    <row r="5" spans="1:4" s="324" customFormat="1" ht="15.75" customHeight="1">
      <c r="A5" s="323" t="e">
        <f>'1개요(건축)'!A5</f>
        <v>#REF!</v>
      </c>
      <c r="B5" s="323"/>
      <c r="C5" s="323"/>
      <c r="D5" s="323"/>
    </row>
    <row r="6" spans="1:4" s="324" customFormat="1" ht="15.75" customHeight="1">
      <c r="A6" s="323"/>
      <c r="B6" s="323"/>
      <c r="C6" s="323"/>
      <c r="D6" s="323"/>
    </row>
    <row r="7" spans="1:4" s="324" customFormat="1" ht="15.75" customHeight="1">
      <c r="A7" s="325" t="s">
        <v>2</v>
      </c>
      <c r="B7" s="323"/>
      <c r="C7" s="323"/>
      <c r="D7" s="323"/>
    </row>
    <row r="8" spans="1:4" s="324" customFormat="1" ht="15.75" customHeight="1">
      <c r="A8" s="323" t="e">
        <f>'1개요(건축)'!A8</f>
        <v>#REF!</v>
      </c>
      <c r="B8" s="323"/>
      <c r="C8" s="323"/>
      <c r="D8" s="323"/>
    </row>
    <row r="9" spans="1:4" s="324" customFormat="1" ht="15.75" customHeight="1">
      <c r="A9" s="323"/>
      <c r="B9" s="323"/>
      <c r="C9" s="323"/>
      <c r="D9" s="323"/>
    </row>
    <row r="10" spans="1:4" s="324" customFormat="1" ht="15.75" customHeight="1">
      <c r="A10" s="325" t="s">
        <v>3</v>
      </c>
      <c r="B10" s="323"/>
      <c r="C10" s="323"/>
      <c r="D10" s="323"/>
    </row>
    <row r="11" spans="1:4" s="324" customFormat="1" ht="15.75" customHeight="1">
      <c r="A11" s="323" t="e">
        <f>'1개요(건축)'!A11</f>
        <v>#REF!</v>
      </c>
      <c r="B11" s="323"/>
      <c r="C11" s="323"/>
      <c r="D11" s="323"/>
    </row>
    <row r="12" spans="1:4" s="324" customFormat="1" ht="15.75" customHeight="1">
      <c r="A12" s="323" t="e">
        <f>'1개요(건축)'!A12</f>
        <v>#REF!</v>
      </c>
      <c r="B12" s="323"/>
      <c r="C12" s="323"/>
      <c r="D12" s="323"/>
    </row>
    <row r="13" spans="1:4" s="324" customFormat="1" ht="15.75" customHeight="1">
      <c r="A13" s="323"/>
      <c r="B13" s="323"/>
      <c r="C13" s="323"/>
      <c r="D13" s="323"/>
    </row>
    <row r="14" spans="1:4" s="324" customFormat="1" ht="15.75" customHeight="1">
      <c r="A14" s="325" t="s">
        <v>4</v>
      </c>
      <c r="B14" s="323"/>
      <c r="C14" s="323"/>
      <c r="D14" s="323"/>
    </row>
    <row r="15" spans="1:4" s="324" customFormat="1" ht="15.75" customHeight="1">
      <c r="A15" s="323" t="e">
        <f>'1개요(건축)'!A15</f>
        <v>#REF!</v>
      </c>
      <c r="B15" s="323"/>
      <c r="C15" s="323"/>
      <c r="D15" s="323"/>
    </row>
    <row r="16" spans="1:4" s="324" customFormat="1" ht="15.75" customHeight="1">
      <c r="A16" s="323" t="e">
        <f>'1개요(건축)'!A16</f>
        <v>#REF!</v>
      </c>
      <c r="B16" s="323"/>
      <c r="C16" s="323"/>
      <c r="D16" s="323"/>
    </row>
    <row r="17" spans="1:4" s="324" customFormat="1" ht="15.75" customHeight="1">
      <c r="A17" s="323"/>
      <c r="B17" s="323"/>
      <c r="C17" s="323"/>
      <c r="D17" s="323"/>
    </row>
    <row r="18" spans="1:4" s="324" customFormat="1" ht="15.75" customHeight="1">
      <c r="A18" s="323"/>
      <c r="B18" s="323"/>
      <c r="C18" s="323"/>
      <c r="D18" s="323"/>
    </row>
    <row r="19" spans="1:4" s="324" customFormat="1" ht="15.75" customHeight="1">
      <c r="A19" s="323"/>
      <c r="B19" s="323"/>
      <c r="C19" s="323"/>
      <c r="D19" s="323"/>
    </row>
    <row r="20" spans="1:4" s="324" customFormat="1" ht="15.75" customHeight="1">
      <c r="A20" s="325" t="s">
        <v>5</v>
      </c>
      <c r="B20" s="323"/>
      <c r="C20" s="323"/>
      <c r="D20" s="323"/>
    </row>
    <row r="21" spans="1:4" s="324" customFormat="1" ht="15.75" customHeight="1">
      <c r="A21" s="323" t="e">
        <f>'1개요(건축)'!A20</f>
        <v>#REF!</v>
      </c>
      <c r="B21" s="323"/>
      <c r="C21" s="323"/>
      <c r="D21" s="323"/>
    </row>
    <row r="22" spans="1:4" s="324" customFormat="1" ht="15.75" customHeight="1">
      <c r="A22" s="323" t="e">
        <f>'1개요(건축)'!A21</f>
        <v>#REF!</v>
      </c>
      <c r="B22" s="323"/>
      <c r="C22" s="323"/>
      <c r="D22" s="323"/>
    </row>
    <row r="23" spans="1:4" s="324" customFormat="1" ht="15.75" customHeight="1">
      <c r="A23" s="323"/>
      <c r="B23" s="323"/>
      <c r="C23" s="323"/>
      <c r="D23" s="323"/>
    </row>
    <row r="24" spans="1:4" s="324" customFormat="1" ht="15.75" customHeight="1">
      <c r="A24" s="325" t="e">
        <f>'1개요(건축)'!A23</f>
        <v>#REF!</v>
      </c>
      <c r="B24" s="323"/>
      <c r="C24" s="323"/>
      <c r="D24" s="323"/>
    </row>
    <row r="25" spans="1:4" s="324" customFormat="1" ht="15.75" customHeight="1">
      <c r="A25" s="325" t="e">
        <f>'1개요(건축)'!A24</f>
        <v>#REF!</v>
      </c>
      <c r="B25" s="323"/>
      <c r="C25" s="323"/>
      <c r="D25" s="323"/>
    </row>
    <row r="26" spans="1:4" s="324" customFormat="1" ht="15.75" customHeight="1">
      <c r="A26" s="323"/>
      <c r="B26" s="323"/>
      <c r="C26" s="323"/>
      <c r="D26" s="323"/>
    </row>
    <row r="27" spans="1:4" s="324" customFormat="1" ht="15.75" customHeight="1">
      <c r="A27" s="325" t="s">
        <v>6</v>
      </c>
      <c r="B27" s="323"/>
      <c r="C27" s="323"/>
      <c r="D27" s="323"/>
    </row>
    <row r="28" spans="1:4" s="324" customFormat="1" ht="15.75" customHeight="1">
      <c r="A28" s="323" t="str">
        <f>'1개요(건축)'!A27</f>
        <v xml:space="preserve">  - 대지면적 : </v>
      </c>
      <c r="B28" s="288" t="e">
        <f>'1개요(건축)'!B27</f>
        <v>#REF!</v>
      </c>
      <c r="C28" s="347" t="e">
        <f>'1개요(건축)'!C27</f>
        <v>#REF!</v>
      </c>
      <c r="D28" s="323"/>
    </row>
    <row r="29" spans="1:4" s="324" customFormat="1" ht="15.75" customHeight="1">
      <c r="A29" s="323" t="str">
        <f>'1개요(건축)'!A28</f>
        <v xml:space="preserve">  - 연 면  적 : </v>
      </c>
      <c r="B29" s="288" t="e">
        <f>'1개요(건축)'!B28</f>
        <v>#REF!</v>
      </c>
      <c r="C29" s="347" t="e">
        <f>'1개요(건축)'!C28</f>
        <v>#REF!</v>
      </c>
      <c r="D29" s="348" t="e">
        <f>"/용적율 "&amp;#REF!*100&amp;" %"</f>
        <v>#REF!</v>
      </c>
    </row>
    <row r="30" spans="1:4" s="324" customFormat="1" ht="15.75" customHeight="1">
      <c r="A30" s="348" t="s">
        <v>17</v>
      </c>
      <c r="B30" s="288" t="e">
        <f>'1개요(건축)'!B29</f>
        <v>#REF!</v>
      </c>
      <c r="C30" s="347" t="e">
        <f>'1개요(건축)'!C29</f>
        <v>#REF!</v>
      </c>
      <c r="D30" s="348" t="e">
        <f>"/건폐율 "&amp;#REF!*100&amp;" %"</f>
        <v>#REF!</v>
      </c>
    </row>
    <row r="31" spans="1:4" s="324" customFormat="1" ht="15.75" customHeight="1">
      <c r="A31" s="323" t="str">
        <f>'1개요(건축)'!A30</f>
        <v xml:space="preserve">  - 사업규모 : </v>
      </c>
      <c r="B31" s="288" t="e">
        <f>'1개요(건축)'!B30</f>
        <v>#REF!</v>
      </c>
      <c r="C31" s="323"/>
      <c r="D31" s="323"/>
    </row>
    <row r="32" spans="1:4" s="324" customFormat="1" ht="15.75" customHeight="1">
      <c r="A32" s="326" t="s">
        <v>434</v>
      </c>
      <c r="B32" s="323"/>
      <c r="C32" s="323"/>
      <c r="D32" s="323"/>
    </row>
    <row r="33" s="327" customFormat="1"/>
    <row r="34" s="327" customFormat="1"/>
    <row r="35" s="327" customFormat="1"/>
    <row r="36" s="327" customFormat="1"/>
    <row r="37" s="327" customFormat="1"/>
    <row r="38" s="327" customFormat="1"/>
    <row r="39" s="327" customFormat="1"/>
    <row r="40" s="327" customFormat="1"/>
    <row r="41" s="327" customFormat="1"/>
    <row r="42" s="327" customFormat="1"/>
  </sheetData>
  <mergeCells count="1">
    <mergeCell ref="A1:D1"/>
  </mergeCells>
  <phoneticPr fontId="3" type="noConversion"/>
  <pageMargins left="0.75" right="0.75" top="1.1299999999999999" bottom="0.74" header="0.5" footer="0.3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11</vt:i4>
      </vt:variant>
    </vt:vector>
  </HeadingPairs>
  <TitlesOfParts>
    <vt:vector size="24" baseType="lpstr">
      <vt:lpstr>1개요(건축)</vt:lpstr>
      <vt:lpstr>2산출서(건축)</vt:lpstr>
      <vt:lpstr>1.건축감리비산출금액</vt:lpstr>
      <vt:lpstr>2.산출총괄표(건축)</vt:lpstr>
      <vt:lpstr>3.구성현황표(건축)</vt:lpstr>
      <vt:lpstr>6정보통신</vt:lpstr>
      <vt:lpstr> 7소방</vt:lpstr>
      <vt:lpstr>4.공정표(건축)</vt:lpstr>
      <vt:lpstr>1.전기감리비산출금액</vt:lpstr>
      <vt:lpstr>2.산출총괄표(전기)</vt:lpstr>
      <vt:lpstr>3.구성현황표(전기)</vt:lpstr>
      <vt:lpstr>4.공정표(전기)</vt:lpstr>
      <vt:lpstr>1개요(전기)</vt:lpstr>
      <vt:lpstr>' 7소방'!Print_Area</vt:lpstr>
      <vt:lpstr>'1.건축감리비산출금액'!Print_Area</vt:lpstr>
      <vt:lpstr>'1.전기감리비산출금액'!Print_Area</vt:lpstr>
      <vt:lpstr>'1개요(전기)'!Print_Area</vt:lpstr>
      <vt:lpstr>'2.산출총괄표(건축)'!Print_Area</vt:lpstr>
      <vt:lpstr>'2.산출총괄표(전기)'!Print_Area</vt:lpstr>
      <vt:lpstr>'2산출서(건축)'!Print_Area</vt:lpstr>
      <vt:lpstr>'3.구성현황표(건축)'!Print_Area</vt:lpstr>
      <vt:lpstr>'3.구성현황표(전기)'!Print_Area</vt:lpstr>
      <vt:lpstr>'6정보통신'!Print_Area</vt:lpstr>
      <vt:lpstr>'3.구성현황표(건축)'!Print_Titles</vt:lpstr>
    </vt:vector>
  </TitlesOfParts>
  <Company>화성산업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단건축</cp:lastModifiedBy>
  <cp:lastPrinted>2020-03-24T05:45:55Z</cp:lastPrinted>
  <dcterms:created xsi:type="dcterms:W3CDTF">2001-10-04T02:09:21Z</dcterms:created>
  <dcterms:modified xsi:type="dcterms:W3CDTF">2020-04-02T07:56:51Z</dcterms:modified>
</cp:coreProperties>
</file>